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harts/chart1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5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omments13.xml" ContentType="application/vnd.openxmlformats-officedocument.spreadsheetml.comments+xml"/>
  <Override PartName="/xl/charts/chart3.xml" ContentType="application/vnd.openxmlformats-officedocument.drawingml.chart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Ballasina\Documents\Xls\"/>
    </mc:Choice>
  </mc:AlternateContent>
  <bookViews>
    <workbookView xWindow="15" yWindow="0" windowWidth="28785" windowHeight="11775" tabRatio="794" firstSheet="1" activeTab="20"/>
  </bookViews>
  <sheets>
    <sheet name="INFO" sheetId="13" r:id="rId1"/>
    <sheet name="LOG" sheetId="28" r:id="rId2"/>
    <sheet name="STRADE" sheetId="26" r:id="rId3"/>
    <sheet name="VIS" sheetId="3" r:id="rId4"/>
    <sheet name="DA" sheetId="19" r:id="rId5"/>
    <sheet name="PLAN" sheetId="4" r:id="rId6"/>
    <sheet name="PROF" sheetId="2" r:id="rId7"/>
    <sheet name="DIAGVEL" sheetId="6" r:id="rId8"/>
    <sheet name="ACCDEC" sheetId="18" r:id="rId9"/>
    <sheet name="SCAMBIO" sheetId="20" r:id="rId10"/>
    <sheet name="QROT" sheetId="23" r:id="rId11"/>
    <sheet name="QROT4" sheetId="29" r:id="rId12"/>
    <sheet name="MOTOACC" sheetId="11" r:id="rId13"/>
    <sheet name="TAB" sheetId="22" r:id="rId14"/>
    <sheet name="TAB2" sheetId="9" r:id="rId15"/>
    <sheet name="VARIE" sheetId="12" r:id="rId16"/>
    <sheet name="ROT3P" sheetId="14" r:id="rId17"/>
    <sheet name="KSVI" sheetId="15" r:id="rId18"/>
    <sheet name="FRANCIA" sheetId="24" r:id="rId19"/>
    <sheet name="TAYLOR" sheetId="27" r:id="rId20"/>
    <sheet name="MATH" sheetId="30" r:id="rId21"/>
  </sheets>
  <externalReferences>
    <externalReference r:id="rId22"/>
  </externalReferences>
  <definedNames>
    <definedName name="_ALT1" localSheetId="8">'[1]Andamento altimetrico asse'!$G$19</definedName>
    <definedName name="_ALT1">PROF!$H$8</definedName>
    <definedName name="_ALT2" localSheetId="8">'[1]Andamento altimetrico asse'!$H$19</definedName>
    <definedName name="_ALT2">PROF!$I$8</definedName>
    <definedName name="_TGA2" localSheetId="8">'[1]Andamento altimetrico asse'!$N$35</definedName>
    <definedName name="_TGA2">PROF!$J$6</definedName>
    <definedName name="A" localSheetId="8">'[1]Andamento altimetrico asse'!$N$41</definedName>
    <definedName name="A">PROF!$J$12</definedName>
    <definedName name="AA" localSheetId="8">'[1]Andamento altimetrico asse'!$N$36</definedName>
    <definedName name="AA">PROF!$J$7</definedName>
    <definedName name="ACONC" localSheetId="8">'[1]Andamento altimetrico asse'!$N$42</definedName>
    <definedName name="ACONC">PROF!$J$13</definedName>
    <definedName name="ACONV" localSheetId="8">'[1]Andamento altimetrico asse'!$N$43</definedName>
    <definedName name="ACONV">PROF!$J$14</definedName>
    <definedName name="ALT" localSheetId="8">'[1]Andamento altimetrico asse'!$E$19</definedName>
    <definedName name="ALT">PROF!$F$8</definedName>
    <definedName name="ANG" localSheetId="8">'[1]Andamento altimetrico asse'!$F$19</definedName>
    <definedName name="ANG">PROF!$G$8</definedName>
    <definedName name="_xlnm.Print_Area" localSheetId="5">PLAN!#REF!</definedName>
    <definedName name="_xlnm.Print_Area" localSheetId="2">STRADE!$B$3:$Z$46</definedName>
    <definedName name="_xlnm.Print_Area" localSheetId="13">TAB!$C$3:$K$114</definedName>
    <definedName name="_xlnm.Print_Area" localSheetId="14">'TAB2'!$Q$73:$W$97</definedName>
    <definedName name="CETUR.4.A">QROT4!$E$25</definedName>
    <definedName name="CETUR.4.D.1">QROT4!$K$25</definedName>
    <definedName name="CETUR.4.D.2">QROT4!$K$26</definedName>
    <definedName name="CETUR.4.D.3">QROT4!$K$27</definedName>
    <definedName name="CETUR.4.D.4">QROT4!$K$28</definedName>
    <definedName name="CETUR.4.G.1">QROT4!$D$25</definedName>
    <definedName name="CETUR.4.G.2">QROT4!$D$26</definedName>
    <definedName name="CETUR.4.G.3">QROT4!$D$27</definedName>
    <definedName name="CETUR.4.G.4">QROT4!$D$28</definedName>
    <definedName name="CETUR.4.K.1">QROT4!$I$25</definedName>
    <definedName name="CETUR.4.K.2">QROT4!$I$26</definedName>
    <definedName name="CETUR.4.K.3">QROT4!$I$27</definedName>
    <definedName name="CETUR.4.K.4">QROT4!$I$28</definedName>
    <definedName name="CETUR.4.K1.1">QROT4!$L$25</definedName>
    <definedName name="CETUR.4.K1.2">QROT4!$L$26</definedName>
    <definedName name="CETUR.4.K1.3">QROT4!$L$27</definedName>
    <definedName name="CETUR.4.K1.4">QROT4!$L$28</definedName>
    <definedName name="CETUR.4.Q.D.1">QROT4!$G$25</definedName>
    <definedName name="CETUR.4.Q.D.2">QROT4!$G$26</definedName>
    <definedName name="CETUR.4.Q.D.3">QROT4!$G$27</definedName>
    <definedName name="CETUR.4.Q.D.4">QROT4!$G$28</definedName>
    <definedName name="COSAA" localSheetId="8">'[1]Andamento altimetrico asse'!$N$38</definedName>
    <definedName name="COSAA">PROF!$J$9</definedName>
    <definedName name="COSMAX" localSheetId="8">'[1]Andamento altimetrico asse'!$N$39</definedName>
    <definedName name="COSMAX">PROF!$J$10</definedName>
    <definedName name="DELTA" localSheetId="8">'[1]Andamento altimetrico asse'!$N$34</definedName>
    <definedName name="DELTA">PROF!$J$5</definedName>
    <definedName name="DELTAI" localSheetId="8">'[1]Andamento altimetrico asse'!$D$19</definedName>
    <definedName name="DELTAI">PROF!$E$8</definedName>
    <definedName name="DELTAP" localSheetId="8">'[1]Andamento altimetrico asse'!$D$19</definedName>
    <definedName name="DELTAP">PROF!$E$8</definedName>
    <definedName name="DIST" localSheetId="8">'[1]Andamento altimetrico asse'!$C$19</definedName>
    <definedName name="DIST">PROF!$C$8</definedName>
    <definedName name="HT" localSheetId="8">'[1]Andamento altimetrico asse'!$E$31</definedName>
    <definedName name="HT">PROF!$C$21</definedName>
    <definedName name="LA" localSheetId="8">'[1]Andamento altimetrico asse'!$G$31</definedName>
    <definedName name="LA">PROF!$D$21</definedName>
    <definedName name="PCONC" localSheetId="8">'[1]Andamento altimetrico asse'!$H$31</definedName>
    <definedName name="PCONC">PROF!$C$23</definedName>
    <definedName name="PCONV" localSheetId="8">'[1]Andamento altimetrico asse'!$I$31</definedName>
    <definedName name="PCONV">PROF!$D$23</definedName>
    <definedName name="PD" localSheetId="8">'[1]Andamento altimetrico asse'!$F$31</definedName>
    <definedName name="PD">PROF!$E$19</definedName>
    <definedName name="RCONC" localSheetId="8">'[1]Andamento altimetrico asse'!$C$31</definedName>
    <definedName name="RCONC">PROF!$C$19</definedName>
    <definedName name="RCONV" localSheetId="8">'[1]Andamento altimetrico asse'!$D$31</definedName>
    <definedName name="RCONV">PROF!$D$19</definedName>
    <definedName name="ROT.4.ANN">QROT4!$I$9</definedName>
    <definedName name="ROT.4.ENT.1">QROT4!$K$9</definedName>
    <definedName name="ROT.4.ENT.2">QROT4!$K$10</definedName>
    <definedName name="ROT.4.ENT.3">QROT4!$K$11</definedName>
    <definedName name="ROT.4.ENT.4">QROT4!$K$12</definedName>
    <definedName name="ROT.4.N.1.2">QROT4!$N$9</definedName>
    <definedName name="ROT.4.N.1.3">QROT4!$O$9</definedName>
    <definedName name="ROT.4.N.1.4">QROT4!$P$9</definedName>
    <definedName name="ROT.4.N.2.1">QROT4!$M$10</definedName>
    <definedName name="ROT.4.N.2.3">QROT4!$O$10</definedName>
    <definedName name="ROT.4.N.2.4">QROT4!$P$10</definedName>
    <definedName name="ROT.4.N.3.1">QROT4!$M$11</definedName>
    <definedName name="ROT.4.N.3.2">QROT4!$N$11</definedName>
    <definedName name="ROT.4.N.3.4">QROT4!$P$11</definedName>
    <definedName name="ROT.4.N.4.1">QROT4!$M$12</definedName>
    <definedName name="ROT.4.N.4.2">QROT4!$N$12</definedName>
    <definedName name="ROT.4.N.4.3">QROT4!$O$12</definedName>
    <definedName name="ROT.4.N.C.1">QROT4!$H$9</definedName>
    <definedName name="ROT.4.N.C.2">QROT4!$H$10</definedName>
    <definedName name="ROT.4.N.C.3">QROT4!$H$11</definedName>
    <definedName name="ROT.4.N.C.4">QROT4!$H$12</definedName>
    <definedName name="ROT.4.Q.E.1">QROT4!$R$9</definedName>
    <definedName name="ROT.4.Q.E.2">QROT4!$R$10</definedName>
    <definedName name="ROT.4.Q.E.3">QROT4!$R$11</definedName>
    <definedName name="ROT.4.Q.E.4">QROT4!$R$12</definedName>
    <definedName name="ROT.4.R">QROT4!$G$9</definedName>
    <definedName name="ROT.4.SEP.1">QROT4!$J$9</definedName>
    <definedName name="ROT.4.SEP.2">QROT4!$J$10</definedName>
    <definedName name="ROT.4.SEP.3">QROT4!$J$11</definedName>
    <definedName name="ROT.4.SEP.4">QROT4!$J$12</definedName>
    <definedName name="SETRA.4.A">QROT4!$E$17</definedName>
    <definedName name="SETRA.4.d.1">QROT4!$K$17</definedName>
    <definedName name="SETRA.4.d.2">QROT4!$K$18</definedName>
    <definedName name="SETRA.4.d.3">QROT4!$K$19</definedName>
    <definedName name="SETRA.4.d.4">QROT4!$K$20</definedName>
    <definedName name="SETRA.4.E.1">QROT4!$H$17</definedName>
    <definedName name="SETRA.4.E.2">QROT4!$H$18</definedName>
    <definedName name="SETRA.4.E.3">QROT4!$H$19</definedName>
    <definedName name="SETRA.4.E.4">QROT4!$H$20</definedName>
    <definedName name="SETRA.4.K.1">QROT4!$I$17</definedName>
    <definedName name="SETRA.4.K.2">QROT4!$I$18</definedName>
    <definedName name="SETRA.4.K.3">QROT4!$I$19</definedName>
    <definedName name="SETRA.4.K.4">QROT4!$I$20</definedName>
    <definedName name="SETRA.4.K1.1">QROT4!$L$17</definedName>
    <definedName name="SETRA.4.K1.2">QROT4!$L$18</definedName>
    <definedName name="SETRA.4.K1.3">QROT4!$L$19</definedName>
    <definedName name="SETRA.4.K1.4">QROT4!$L$20</definedName>
    <definedName name="SETRA.4.Q.C.1">QROT4!$T$9</definedName>
    <definedName name="SETRA.4.Q.C.2">QROT4!$T$10</definedName>
    <definedName name="SETRA.4.Q.C.3">QROT4!$T$11</definedName>
    <definedName name="SETRA.4.Q.C.4">QROT4!$T$12</definedName>
    <definedName name="SETRA.4.Q.D.1">QROT4!$G$17</definedName>
    <definedName name="SETRA.4.Q.D.2">QROT4!$G$18</definedName>
    <definedName name="SETRA.4.Q.D.3">QROT4!$G$19</definedName>
    <definedName name="SETRA.4.Q.D.4">QROT4!$G$20</definedName>
    <definedName name="SETRA.4.Q.U.1">QROT4!$S$9</definedName>
    <definedName name="SETRA.4.Q.U.2">QROT4!$S$10</definedName>
    <definedName name="SETRA.4.Q.U.3">QROT4!$S$11</definedName>
    <definedName name="SETRA.4.Q.U.4">QROT4!$S$12</definedName>
    <definedName name="SETRA.4.Q1.U.1">QROT4!$F$17</definedName>
    <definedName name="SETRA.4.Q1.U.2">QROT4!$F$18</definedName>
    <definedName name="SETRA.4.Q1.U.3">QROT4!$F$19</definedName>
    <definedName name="SETRA.4.Q1.U.4">QROT4!$F$20</definedName>
    <definedName name="SETRA.4.S.1">QROT4!$D$17</definedName>
    <definedName name="SETRA.4.S.2">QROT4!$D$18</definedName>
    <definedName name="SETRA.4.S.3">QROT4!$D$19</definedName>
    <definedName name="SETRA.4.S.4">QROT4!$D$20</definedName>
    <definedName name="SINAA" localSheetId="8">'[1]Andamento altimetrico asse'!$N$37</definedName>
    <definedName name="SINAA">PROF!$J$8</definedName>
    <definedName name="SINMAX" localSheetId="8">'[1]Andamento altimetrico asse'!$N$40</definedName>
    <definedName name="SINMAX">PROF!$J$11</definedName>
    <definedName name="solver_adj" localSheetId="5" hidden="1">PLAN!#REF!</definedName>
    <definedName name="solver_adj" localSheetId="3" hidden="1">VIS!$Q$32</definedName>
    <definedName name="solver_cvg" localSheetId="5" hidden="1">0.001</definedName>
    <definedName name="solver_cvg" localSheetId="3" hidden="1">0.0001</definedName>
    <definedName name="solver_drv" localSheetId="5" hidden="1">1</definedName>
    <definedName name="solver_drv" localSheetId="3" hidden="1">1</definedName>
    <definedName name="solver_eng" localSheetId="3" hidden="1">1</definedName>
    <definedName name="solver_est" localSheetId="5" hidden="1">1</definedName>
    <definedName name="solver_est" localSheetId="3" hidden="1">1</definedName>
    <definedName name="solver_itr" localSheetId="5" hidden="1">100</definedName>
    <definedName name="solver_itr" localSheetId="3" hidden="1">2147483647</definedName>
    <definedName name="solver_lin" localSheetId="5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5" hidden="1">2</definedName>
    <definedName name="solver_neg" localSheetId="3" hidden="1">1</definedName>
    <definedName name="solver_nod" localSheetId="3" hidden="1">2147483647</definedName>
    <definedName name="solver_num" localSheetId="5" hidden="1">0</definedName>
    <definedName name="solver_num" localSheetId="3" hidden="1">0</definedName>
    <definedName name="solver_nwt" localSheetId="5" hidden="1">1</definedName>
    <definedName name="solver_nwt" localSheetId="3" hidden="1">1</definedName>
    <definedName name="solver_opt" localSheetId="5" hidden="1">PLAN!#REF!</definedName>
    <definedName name="solver_opt" localSheetId="3" hidden="1">VIS!$R$32</definedName>
    <definedName name="solver_pre" localSheetId="5" hidden="1">0.000001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5" hidden="1">2</definedName>
    <definedName name="solver_scl" localSheetId="3" hidden="1">1</definedName>
    <definedName name="solver_sho" localSheetId="5" hidden="1">2</definedName>
    <definedName name="solver_sho" localSheetId="3" hidden="1">2</definedName>
    <definedName name="solver_ssz" localSheetId="3" hidden="1">100</definedName>
    <definedName name="solver_tim" localSheetId="5" hidden="1">100</definedName>
    <definedName name="solver_tim" localSheetId="3" hidden="1">2147483647</definedName>
    <definedName name="solver_tol" localSheetId="5" hidden="1">0.05</definedName>
    <definedName name="solver_tol" localSheetId="3" hidden="1">0.01</definedName>
    <definedName name="solver_typ" localSheetId="5" hidden="1">1</definedName>
    <definedName name="solver_typ" localSheetId="3" hidden="1">3</definedName>
    <definedName name="solver_val" localSheetId="5" hidden="1">0</definedName>
    <definedName name="solver_val" localSheetId="3" hidden="1">0</definedName>
    <definedName name="solver_ver" localSheetId="3" hidden="1">3</definedName>
    <definedName name="TIMPORAMPE">STRADE!$E$47:$E$48</definedName>
    <definedName name="TIPISTRADE">STRADE!$E$4:$X$48</definedName>
    <definedName name="TIPO">STRADE!$E$4:$E$44</definedName>
    <definedName name="TIPOA">STRADE!$E$4:$E$21</definedName>
    <definedName name="TIPOBD">STRADE!$E$22:$E$32</definedName>
    <definedName name="TIPOCEF">STRADE!$E$33:$E$46</definedName>
  </definedNames>
  <calcPr calcId="152511"/>
</workbook>
</file>

<file path=xl/calcChain.xml><?xml version="1.0" encoding="utf-8"?>
<calcChain xmlns="http://schemas.openxmlformats.org/spreadsheetml/2006/main">
  <c r="D59" i="30" l="1"/>
  <c r="D57" i="30"/>
  <c r="D60" i="30"/>
  <c r="E56" i="30"/>
  <c r="E59" i="30"/>
  <c r="E60" i="30" s="1"/>
  <c r="E57" i="30"/>
  <c r="D58" i="30"/>
  <c r="G73" i="30" l="1"/>
  <c r="G69" i="30" l="1"/>
  <c r="F69" i="30"/>
  <c r="H69" i="30" l="1"/>
  <c r="F45" i="30"/>
  <c r="F44" i="30"/>
  <c r="E45" i="30"/>
  <c r="E44" i="30"/>
  <c r="F42" i="30" l="1"/>
  <c r="F47" i="30"/>
  <c r="F41" i="30" s="1"/>
  <c r="I40" i="30"/>
  <c r="I47" i="30"/>
  <c r="I41" i="30" s="1"/>
  <c r="E43" i="30"/>
  <c r="D39" i="30"/>
  <c r="E47" i="30"/>
  <c r="E41" i="30" s="1"/>
  <c r="H47" i="30"/>
  <c r="H40" i="30" s="1"/>
  <c r="G47" i="30"/>
  <c r="G40" i="30" s="1"/>
  <c r="D47" i="30"/>
  <c r="D43" i="30" s="1"/>
  <c r="D45" i="30" l="1"/>
  <c r="D44" i="30"/>
  <c r="G43" i="30"/>
  <c r="H42" i="30"/>
  <c r="D42" i="30"/>
  <c r="D29" i="30"/>
  <c r="D30" i="30" s="1"/>
  <c r="D31" i="30" s="1"/>
  <c r="F18" i="30"/>
  <c r="E19" i="30"/>
  <c r="G17" i="30"/>
  <c r="D20" i="30"/>
  <c r="G9" i="30"/>
  <c r="F10" i="30"/>
  <c r="E11" i="30"/>
  <c r="D12" i="30"/>
  <c r="G14" i="11" l="1"/>
  <c r="G9" i="11" s="1"/>
  <c r="J14" i="11"/>
  <c r="J15" i="11" s="1"/>
  <c r="J12" i="11" s="1"/>
  <c r="L15" i="11"/>
  <c r="I15" i="11"/>
  <c r="I14" i="11"/>
  <c r="M15" i="11"/>
  <c r="K15" i="11"/>
  <c r="K14" i="11" s="1"/>
  <c r="H15" i="11"/>
  <c r="H14" i="11"/>
  <c r="I9" i="11" l="1"/>
  <c r="I10" i="11" s="1"/>
  <c r="J8" i="11"/>
  <c r="G15" i="11"/>
  <c r="G12" i="11" s="1"/>
  <c r="L10" i="11"/>
  <c r="L14" i="11" s="1"/>
  <c r="L8" i="11" s="1"/>
  <c r="M9" i="11"/>
  <c r="M14" i="11" s="1"/>
  <c r="K8" i="11"/>
  <c r="K11" i="11"/>
  <c r="H9" i="11"/>
  <c r="H11" i="11" s="1"/>
  <c r="F15" i="11"/>
  <c r="F14" i="11"/>
  <c r="D14" i="11"/>
  <c r="D15" i="11" s="1"/>
  <c r="D12" i="11" s="1"/>
  <c r="E14" i="11"/>
  <c r="E10" i="11" s="1"/>
  <c r="F11" i="11" l="1"/>
  <c r="F10" i="11"/>
  <c r="D11" i="11"/>
  <c r="E15" i="11"/>
  <c r="E12" i="11" s="1"/>
  <c r="D125" i="4"/>
  <c r="I68" i="3" l="1"/>
  <c r="G68" i="3"/>
  <c r="C80" i="3"/>
  <c r="C79" i="3"/>
  <c r="C78" i="3"/>
  <c r="C77" i="3"/>
  <c r="C76" i="3"/>
  <c r="C75" i="3"/>
  <c r="C74" i="3"/>
  <c r="C73" i="3"/>
  <c r="H68" i="3"/>
  <c r="L75" i="3" s="1"/>
  <c r="F68" i="3"/>
  <c r="O47" i="26"/>
  <c r="O48" i="26"/>
  <c r="M75" i="3" l="1"/>
  <c r="H52" i="3"/>
  <c r="F52" i="3"/>
  <c r="I36" i="3"/>
  <c r="H36" i="3"/>
  <c r="G36" i="3"/>
  <c r="F36" i="3"/>
  <c r="D36" i="3"/>
  <c r="I20" i="3"/>
  <c r="H20" i="3"/>
  <c r="G20" i="3"/>
  <c r="F20" i="3"/>
  <c r="D20" i="3"/>
  <c r="E32" i="2" l="1"/>
  <c r="H32" i="2" s="1"/>
  <c r="I125" i="4"/>
  <c r="I124" i="4"/>
  <c r="I123" i="4"/>
  <c r="I122" i="4"/>
  <c r="I121" i="4"/>
  <c r="I120" i="4"/>
  <c r="I119" i="4"/>
  <c r="I118" i="4"/>
  <c r="I117" i="4"/>
  <c r="M11" i="19"/>
  <c r="M48" i="4"/>
  <c r="F40" i="4"/>
  <c r="E39" i="4"/>
  <c r="G41" i="4"/>
  <c r="D38" i="4"/>
  <c r="D106" i="4"/>
  <c r="J54" i="4"/>
  <c r="J55" i="4"/>
  <c r="F99" i="4" l="1"/>
  <c r="F98" i="4" s="1"/>
  <c r="F96" i="4" s="1"/>
  <c r="F91" i="4"/>
  <c r="F90" i="4" s="1"/>
  <c r="F88" i="4" s="1"/>
  <c r="E99" i="4"/>
  <c r="E98" i="4" s="1"/>
  <c r="E96" i="4" s="1"/>
  <c r="E91" i="4"/>
  <c r="E90" i="4" s="1"/>
  <c r="E88" i="4" s="1"/>
  <c r="M99" i="4"/>
  <c r="M98" i="4" s="1"/>
  <c r="M96" i="4" s="1"/>
  <c r="L99" i="4"/>
  <c r="L98" i="4" s="1"/>
  <c r="L96" i="4" s="1"/>
  <c r="K99" i="4"/>
  <c r="K98" i="4" s="1"/>
  <c r="K96" i="4" s="1"/>
  <c r="J99" i="4"/>
  <c r="J98" i="4" s="1"/>
  <c r="J96" i="4" s="1"/>
  <c r="I99" i="4"/>
  <c r="I98" i="4" s="1"/>
  <c r="I96" i="4" s="1"/>
  <c r="H99" i="4"/>
  <c r="H98" i="4" s="1"/>
  <c r="H96" i="4" s="1"/>
  <c r="I48" i="4"/>
  <c r="D99" i="4"/>
  <c r="D98" i="4" s="1"/>
  <c r="D96" i="4" s="1"/>
  <c r="M91" i="4"/>
  <c r="M90" i="4" s="1"/>
  <c r="M88" i="4" s="1"/>
  <c r="D91" i="4"/>
  <c r="D90" i="4" s="1"/>
  <c r="D88" i="4" s="1"/>
  <c r="L91" i="4"/>
  <c r="L90" i="4" s="1"/>
  <c r="L88" i="4" s="1"/>
  <c r="K91" i="4"/>
  <c r="K90" i="4" s="1"/>
  <c r="K88" i="4" s="1"/>
  <c r="J91" i="4"/>
  <c r="J90" i="4" s="1"/>
  <c r="J88" i="4" s="1"/>
  <c r="I91" i="4"/>
  <c r="I90" i="4" s="1"/>
  <c r="I88" i="4" s="1"/>
  <c r="G49" i="4"/>
  <c r="G50" i="4"/>
  <c r="G46" i="4"/>
  <c r="G47" i="4"/>
  <c r="G48" i="4"/>
  <c r="G45" i="4"/>
  <c r="F47" i="4"/>
  <c r="F48" i="4"/>
  <c r="F49" i="4"/>
  <c r="F50" i="4"/>
  <c r="F51" i="4"/>
  <c r="F52" i="4"/>
  <c r="F53" i="4"/>
  <c r="F54" i="4"/>
  <c r="F55" i="4"/>
  <c r="F56" i="4"/>
  <c r="F57" i="4"/>
  <c r="F58" i="4"/>
  <c r="F46" i="4"/>
  <c r="H91" i="4" l="1"/>
  <c r="H90" i="4" s="1"/>
  <c r="H88" i="4" s="1"/>
  <c r="O17" i="26" l="1"/>
  <c r="O18" i="26"/>
  <c r="O19" i="26"/>
  <c r="O20" i="26"/>
  <c r="O5" i="26"/>
  <c r="O7" i="26"/>
  <c r="O9" i="26"/>
  <c r="I67" i="2" l="1"/>
  <c r="I66" i="2"/>
  <c r="I65" i="2"/>
  <c r="I64" i="2"/>
  <c r="I63" i="2"/>
  <c r="I62" i="2"/>
  <c r="J63" i="2"/>
  <c r="L63" i="2"/>
  <c r="J64" i="2"/>
  <c r="L64" i="2"/>
  <c r="J65" i="2"/>
  <c r="L65" i="2"/>
  <c r="J66" i="2"/>
  <c r="L66" i="2"/>
  <c r="J67" i="2"/>
  <c r="L67" i="2"/>
  <c r="L62" i="2"/>
  <c r="J62" i="2"/>
  <c r="F63" i="2"/>
  <c r="G63" i="2"/>
  <c r="K63" i="2" s="1"/>
  <c r="H63" i="2"/>
  <c r="F64" i="2"/>
  <c r="G64" i="2"/>
  <c r="H64" i="2"/>
  <c r="F65" i="2"/>
  <c r="G65" i="2"/>
  <c r="H65" i="2"/>
  <c r="F66" i="2"/>
  <c r="G66" i="2"/>
  <c r="K66" i="2" s="1"/>
  <c r="M66" i="2" s="1"/>
  <c r="H66" i="2"/>
  <c r="F67" i="2"/>
  <c r="G67" i="2"/>
  <c r="H67" i="2"/>
  <c r="G62" i="2"/>
  <c r="H62" i="2"/>
  <c r="F62" i="2"/>
  <c r="M63" i="2" l="1"/>
  <c r="Z71" i="2"/>
  <c r="Z69" i="2"/>
  <c r="Z66" i="2"/>
  <c r="Z68" i="2"/>
  <c r="K67" i="2"/>
  <c r="Z67" i="2"/>
  <c r="Z70" i="2"/>
  <c r="K62" i="2"/>
  <c r="M62" i="2" s="1"/>
  <c r="K64" i="2"/>
  <c r="M64" i="2" s="1"/>
  <c r="K65" i="2"/>
  <c r="M65" i="2" s="1"/>
  <c r="M67" i="2"/>
  <c r="H74" i="9"/>
  <c r="I74" i="9"/>
  <c r="J74" i="9"/>
  <c r="K74" i="9"/>
  <c r="H75" i="9"/>
  <c r="I75" i="9"/>
  <c r="J75" i="9"/>
  <c r="K75" i="9"/>
  <c r="H76" i="9"/>
  <c r="I76" i="9"/>
  <c r="J76" i="9"/>
  <c r="K76" i="9"/>
  <c r="H77" i="9"/>
  <c r="I77" i="9"/>
  <c r="J77" i="9"/>
  <c r="K77" i="9"/>
  <c r="H78" i="9"/>
  <c r="I78" i="9"/>
  <c r="J78" i="9"/>
  <c r="K78" i="9"/>
  <c r="H79" i="9"/>
  <c r="I79" i="9"/>
  <c r="J79" i="9"/>
  <c r="K79" i="9"/>
  <c r="G75" i="9"/>
  <c r="G76" i="9"/>
  <c r="G77" i="9"/>
  <c r="G78" i="9"/>
  <c r="G79" i="9"/>
  <c r="G74" i="9"/>
  <c r="D67" i="29" l="1"/>
  <c r="G66" i="29"/>
  <c r="F65" i="29"/>
  <c r="I67" i="29"/>
  <c r="I66" i="29"/>
  <c r="I65" i="29"/>
  <c r="I64" i="29"/>
  <c r="E64" i="29"/>
  <c r="E25" i="29"/>
  <c r="F67" i="29" s="1"/>
  <c r="D28" i="29"/>
  <c r="G67" i="29" s="1"/>
  <c r="D27" i="29"/>
  <c r="F66" i="29" s="1"/>
  <c r="D26" i="29"/>
  <c r="E65" i="29" s="1"/>
  <c r="D25" i="29"/>
  <c r="D64" i="29" s="1"/>
  <c r="F64" i="29" l="1"/>
  <c r="G64" i="29"/>
  <c r="G65" i="29"/>
  <c r="E66" i="29"/>
  <c r="D66" i="29"/>
  <c r="D65" i="29"/>
  <c r="E67" i="29"/>
  <c r="E17" i="29"/>
  <c r="D20" i="29"/>
  <c r="D19" i="29"/>
  <c r="D18" i="29"/>
  <c r="D17" i="29"/>
  <c r="E57" i="29" l="1"/>
  <c r="F57" i="29"/>
  <c r="G57" i="29"/>
  <c r="G58" i="29"/>
  <c r="F58" i="29"/>
  <c r="D58" i="29"/>
  <c r="F60" i="29"/>
  <c r="E60" i="29"/>
  <c r="D60" i="29"/>
  <c r="E59" i="29"/>
  <c r="D59" i="29"/>
  <c r="G59" i="29"/>
  <c r="I60" i="29"/>
  <c r="I57" i="29"/>
  <c r="I59" i="29"/>
  <c r="I58" i="29"/>
  <c r="H18" i="29"/>
  <c r="E58" i="29" s="1"/>
  <c r="H20" i="29"/>
  <c r="G60" i="29" s="1"/>
  <c r="H19" i="29"/>
  <c r="F59" i="29" s="1"/>
  <c r="J18" i="29" l="1"/>
  <c r="J19" i="29"/>
  <c r="H17" i="29"/>
  <c r="D57" i="29" s="1"/>
  <c r="T12" i="29"/>
  <c r="T11" i="29"/>
  <c r="T10" i="29"/>
  <c r="T9" i="29"/>
  <c r="S12" i="29"/>
  <c r="F20" i="29" s="1"/>
  <c r="S11" i="29"/>
  <c r="S10" i="29"/>
  <c r="F18" i="29" s="1"/>
  <c r="S9" i="29"/>
  <c r="F17" i="29" s="1"/>
  <c r="Q9" i="29"/>
  <c r="Q10" i="29"/>
  <c r="Q11" i="29"/>
  <c r="Q12" i="29"/>
  <c r="G17" i="29" l="1"/>
  <c r="F19" i="29"/>
  <c r="G19" i="29" s="1"/>
  <c r="G28" i="29"/>
  <c r="K28" i="29" s="1"/>
  <c r="G27" i="29"/>
  <c r="K27" i="29" s="1"/>
  <c r="G26" i="29"/>
  <c r="K26" i="29" s="1"/>
  <c r="G25" i="29"/>
  <c r="K25" i="29" s="1"/>
  <c r="K17" i="29"/>
  <c r="G18" i="29"/>
  <c r="K64" i="29" a="1"/>
  <c r="N65" i="29" s="1"/>
  <c r="G20" i="29"/>
  <c r="K20" i="29"/>
  <c r="K18" i="29"/>
  <c r="K19" i="29"/>
  <c r="J17" i="29"/>
  <c r="J20" i="29"/>
  <c r="F14" i="23"/>
  <c r="F5" i="23"/>
  <c r="F6" i="23" s="1"/>
  <c r="I27" i="29" l="1"/>
  <c r="I28" i="29"/>
  <c r="I26" i="29"/>
  <c r="I25" i="29"/>
  <c r="L25" i="29"/>
  <c r="L20" i="29"/>
  <c r="L19" i="29"/>
  <c r="L18" i="29"/>
  <c r="L17" i="29"/>
  <c r="M17" i="29" s="1"/>
  <c r="K57" i="29" a="1"/>
  <c r="M60" i="29" s="1"/>
  <c r="K64" i="29"/>
  <c r="M66" i="29"/>
  <c r="N64" i="29"/>
  <c r="M64" i="29"/>
  <c r="M65" i="29"/>
  <c r="K66" i="29"/>
  <c r="L64" i="29"/>
  <c r="L66" i="29"/>
  <c r="L67" i="29"/>
  <c r="N67" i="29"/>
  <c r="L65" i="29"/>
  <c r="K67" i="29"/>
  <c r="M67" i="29"/>
  <c r="K65" i="29"/>
  <c r="N66" i="29"/>
  <c r="I19" i="29"/>
  <c r="I18" i="29"/>
  <c r="I17" i="29"/>
  <c r="I20" i="29"/>
  <c r="R25" i="29" l="1"/>
  <c r="R26" i="29"/>
  <c r="R28" i="29"/>
  <c r="R27" i="29"/>
  <c r="R19" i="29"/>
  <c r="R20" i="29"/>
  <c r="R18" i="29"/>
  <c r="R17" i="29"/>
  <c r="M25" i="29"/>
  <c r="N25" i="29" s="1"/>
  <c r="S25" i="29" s="1"/>
  <c r="V25" i="29" s="1"/>
  <c r="P25" i="29" a="1"/>
  <c r="L27" i="29"/>
  <c r="L28" i="29"/>
  <c r="L26" i="29"/>
  <c r="K60" i="29"/>
  <c r="K59" i="29"/>
  <c r="L57" i="29"/>
  <c r="M57" i="29"/>
  <c r="N60" i="29"/>
  <c r="N57" i="29"/>
  <c r="L59" i="29"/>
  <c r="N59" i="29"/>
  <c r="L58" i="29"/>
  <c r="M58" i="29"/>
  <c r="N58" i="29"/>
  <c r="L60" i="29"/>
  <c r="K57" i="29"/>
  <c r="M59" i="29"/>
  <c r="K58" i="29"/>
  <c r="N17" i="29"/>
  <c r="S17" i="29" s="1"/>
  <c r="M20" i="29"/>
  <c r="N20" i="29" s="1"/>
  <c r="S20" i="29" s="1"/>
  <c r="V20" i="29" s="1"/>
  <c r="M18" i="29"/>
  <c r="N18" i="29" s="1"/>
  <c r="S18" i="29" s="1"/>
  <c r="M19" i="29"/>
  <c r="N19" i="29" s="1"/>
  <c r="S19" i="29" s="1"/>
  <c r="V19" i="29" s="1"/>
  <c r="T25" i="29" l="1"/>
  <c r="U25" i="29" s="1"/>
  <c r="T20" i="29"/>
  <c r="U20" i="29" s="1"/>
  <c r="T17" i="29"/>
  <c r="U17" i="29" s="1"/>
  <c r="T18" i="29"/>
  <c r="U18" i="29" s="1"/>
  <c r="V18" i="29"/>
  <c r="T19" i="29"/>
  <c r="U19" i="29" s="1"/>
  <c r="V17" i="29"/>
  <c r="O17" i="29"/>
  <c r="M28" i="29"/>
  <c r="N28" i="29" s="1"/>
  <c r="S28" i="29" s="1"/>
  <c r="V28" i="29" s="1"/>
  <c r="P28" i="29"/>
  <c r="P27" i="29"/>
  <c r="P25" i="29"/>
  <c r="P26" i="29"/>
  <c r="M27" i="29"/>
  <c r="N27" i="29" s="1"/>
  <c r="S27" i="29" s="1"/>
  <c r="M26" i="29"/>
  <c r="N26" i="29" s="1"/>
  <c r="S26" i="29" s="1"/>
  <c r="P17" i="29" a="1"/>
  <c r="P17" i="29" s="1"/>
  <c r="O46" i="26"/>
  <c r="O45" i="26"/>
  <c r="O40" i="26"/>
  <c r="O36" i="26"/>
  <c r="O35" i="26"/>
  <c r="O32" i="26"/>
  <c r="O26" i="26"/>
  <c r="O21" i="26"/>
  <c r="V27" i="29" l="1"/>
  <c r="T27" i="29"/>
  <c r="U27" i="29" s="1"/>
  <c r="V26" i="29"/>
  <c r="T26" i="29"/>
  <c r="U26" i="29" s="1"/>
  <c r="T28" i="29"/>
  <c r="U28" i="29" s="1"/>
  <c r="O25" i="29"/>
  <c r="Q25" i="29"/>
  <c r="P20" i="29"/>
  <c r="P19" i="29"/>
  <c r="P18" i="29"/>
  <c r="Q17" i="29"/>
  <c r="D13" i="2"/>
  <c r="E8" i="2" s="1"/>
  <c r="D41" i="2" l="1"/>
  <c r="F40" i="2"/>
  <c r="D40" i="2"/>
  <c r="F84" i="27" l="1"/>
  <c r="L13" i="2" l="1"/>
  <c r="E19" i="2" l="1"/>
  <c r="M8" i="2"/>
  <c r="M19" i="2" s="1"/>
  <c r="O21" i="2"/>
  <c r="P21" i="2" s="1"/>
  <c r="R14" i="2"/>
  <c r="R13" i="2"/>
  <c r="R12" i="2" l="1"/>
  <c r="N19" i="2"/>
  <c r="R29" i="3"/>
  <c r="R32" i="3" s="1"/>
  <c r="I93" i="27" l="1"/>
  <c r="I92" i="27"/>
  <c r="I91" i="27"/>
  <c r="I90" i="27"/>
  <c r="I89" i="27"/>
  <c r="I88" i="27"/>
  <c r="J88" i="27" s="1"/>
  <c r="I87" i="27"/>
  <c r="J87" i="27" s="1"/>
  <c r="I86" i="27"/>
  <c r="J86" i="27" s="1"/>
  <c r="I85" i="27"/>
  <c r="J85" i="27" s="1"/>
  <c r="I84" i="27"/>
  <c r="J84" i="27" s="1"/>
  <c r="I83" i="27"/>
  <c r="J83" i="27" s="1"/>
  <c r="I82" i="27"/>
  <c r="J82" i="27" s="1"/>
  <c r="I81" i="27"/>
  <c r="I80" i="27"/>
  <c r="I79" i="27"/>
  <c r="I78" i="27"/>
  <c r="I77" i="27"/>
  <c r="I76" i="27"/>
  <c r="J76" i="27" s="1"/>
  <c r="I75" i="27"/>
  <c r="J75" i="27" s="1"/>
  <c r="I74" i="27"/>
  <c r="J74" i="27" s="1"/>
  <c r="I73" i="27"/>
  <c r="J73" i="27" s="1"/>
  <c r="I72" i="27"/>
  <c r="J72" i="27" s="1"/>
  <c r="I71" i="27"/>
  <c r="J71" i="27" s="1"/>
  <c r="I70" i="27"/>
  <c r="J70" i="27" s="1"/>
  <c r="I69" i="27"/>
  <c r="I68" i="27"/>
  <c r="I67" i="27"/>
  <c r="I66" i="27"/>
  <c r="I65" i="27"/>
  <c r="I64" i="27"/>
  <c r="J64" i="27" s="1"/>
  <c r="I63" i="27"/>
  <c r="J63" i="27" s="1"/>
  <c r="I62" i="27"/>
  <c r="J62" i="27" s="1"/>
  <c r="I61" i="27"/>
  <c r="J61" i="27" s="1"/>
  <c r="I60" i="27"/>
  <c r="J60" i="27" s="1"/>
  <c r="I59" i="27"/>
  <c r="J59" i="27" s="1"/>
  <c r="I58" i="27"/>
  <c r="J58" i="27" s="1"/>
  <c r="I57" i="27"/>
  <c r="I56" i="27"/>
  <c r="I55" i="27"/>
  <c r="I54" i="27"/>
  <c r="I53" i="27"/>
  <c r="I52" i="27"/>
  <c r="J52" i="27" s="1"/>
  <c r="I51" i="27"/>
  <c r="J51" i="27" s="1"/>
  <c r="I50" i="27"/>
  <c r="J50" i="27" s="1"/>
  <c r="I49" i="27"/>
  <c r="J49" i="27" s="1"/>
  <c r="I48" i="27"/>
  <c r="J48" i="27" s="1"/>
  <c r="I47" i="27"/>
  <c r="J47" i="27" s="1"/>
  <c r="I46" i="27"/>
  <c r="J46" i="27" s="1"/>
  <c r="I45" i="27"/>
  <c r="I44" i="27"/>
  <c r="I43" i="27"/>
  <c r="I42" i="27"/>
  <c r="I41" i="27"/>
  <c r="I40" i="27"/>
  <c r="J40" i="27" s="1"/>
  <c r="I39" i="27"/>
  <c r="J39" i="27" s="1"/>
  <c r="I38" i="27"/>
  <c r="J38" i="27" s="1"/>
  <c r="I37" i="27"/>
  <c r="J37" i="27" s="1"/>
  <c r="I36" i="27"/>
  <c r="J36" i="27" s="1"/>
  <c r="I35" i="27"/>
  <c r="J35" i="27" s="1"/>
  <c r="I34" i="27"/>
  <c r="J34" i="27" s="1"/>
  <c r="I33" i="27"/>
  <c r="I32" i="27"/>
  <c r="I31" i="27"/>
  <c r="I30" i="27"/>
  <c r="I29" i="27"/>
  <c r="I28" i="27"/>
  <c r="J28" i="27" s="1"/>
  <c r="I27" i="27"/>
  <c r="J27" i="27" s="1"/>
  <c r="I26" i="27"/>
  <c r="J26" i="27" s="1"/>
  <c r="I25" i="27"/>
  <c r="J25" i="27" s="1"/>
  <c r="I24" i="27"/>
  <c r="J24" i="27" s="1"/>
  <c r="I23" i="27"/>
  <c r="J23" i="27" s="1"/>
  <c r="I22" i="27"/>
  <c r="J22" i="27" s="1"/>
  <c r="I21" i="27"/>
  <c r="I20" i="27"/>
  <c r="I19" i="27"/>
  <c r="I18" i="27"/>
  <c r="I17" i="27"/>
  <c r="I16" i="27"/>
  <c r="J16" i="27" s="1"/>
  <c r="I15" i="27"/>
  <c r="J15" i="27" s="1"/>
  <c r="I14" i="27"/>
  <c r="J14" i="27" s="1"/>
  <c r="I13" i="27"/>
  <c r="J13" i="27" s="1"/>
  <c r="I12" i="27"/>
  <c r="J12" i="27" s="1"/>
  <c r="I11" i="27"/>
  <c r="J11" i="27" s="1"/>
  <c r="I10" i="27"/>
  <c r="J10" i="27" s="1"/>
  <c r="I9" i="27"/>
  <c r="I8" i="27"/>
  <c r="I7" i="27"/>
  <c r="I6" i="27"/>
  <c r="I5" i="27"/>
  <c r="I4" i="27"/>
  <c r="J4" i="27" s="1"/>
  <c r="I3" i="27"/>
  <c r="J93" i="27"/>
  <c r="J92" i="27"/>
  <c r="J91" i="27"/>
  <c r="J90" i="27"/>
  <c r="J89" i="27"/>
  <c r="J81" i="27"/>
  <c r="J80" i="27"/>
  <c r="J79" i="27"/>
  <c r="J78" i="27"/>
  <c r="J77" i="27"/>
  <c r="J69" i="27"/>
  <c r="J68" i="27"/>
  <c r="J67" i="27"/>
  <c r="J66" i="27"/>
  <c r="J65" i="27"/>
  <c r="J57" i="27"/>
  <c r="J56" i="27"/>
  <c r="J55" i="27"/>
  <c r="J54" i="27"/>
  <c r="J53" i="27"/>
  <c r="J45" i="27"/>
  <c r="J44" i="27"/>
  <c r="J43" i="27"/>
  <c r="J42" i="27"/>
  <c r="J41" i="27"/>
  <c r="J33" i="27"/>
  <c r="J32" i="27"/>
  <c r="J31" i="27"/>
  <c r="J30" i="27"/>
  <c r="J29" i="27"/>
  <c r="J21" i="27"/>
  <c r="J20" i="27"/>
  <c r="J19" i="27"/>
  <c r="J18" i="27"/>
  <c r="J17" i="27"/>
  <c r="J9" i="27"/>
  <c r="J8" i="27"/>
  <c r="J7" i="27"/>
  <c r="J6" i="27"/>
  <c r="J5" i="27"/>
  <c r="J3" i="27"/>
  <c r="H93" i="27"/>
  <c r="H92" i="27"/>
  <c r="H91" i="27"/>
  <c r="H90" i="27"/>
  <c r="H89" i="27"/>
  <c r="H88" i="27"/>
  <c r="H87" i="27"/>
  <c r="H86" i="27"/>
  <c r="H85" i="27"/>
  <c r="H84" i="27"/>
  <c r="H83" i="27"/>
  <c r="H82" i="27"/>
  <c r="H81" i="27"/>
  <c r="H80" i="27"/>
  <c r="H79" i="27"/>
  <c r="H78" i="27"/>
  <c r="H77" i="27"/>
  <c r="H76" i="27"/>
  <c r="H75" i="27"/>
  <c r="H74" i="27"/>
  <c r="H73" i="27"/>
  <c r="H72" i="27"/>
  <c r="H71" i="27"/>
  <c r="H70" i="27"/>
  <c r="H69" i="27"/>
  <c r="H68" i="27"/>
  <c r="H67" i="27"/>
  <c r="H66" i="27"/>
  <c r="H65" i="27"/>
  <c r="H64" i="27"/>
  <c r="H63" i="27"/>
  <c r="H62" i="27"/>
  <c r="H61" i="27"/>
  <c r="H60" i="27"/>
  <c r="H59" i="27"/>
  <c r="H58" i="27"/>
  <c r="H57" i="27"/>
  <c r="H56" i="27"/>
  <c r="H55" i="27"/>
  <c r="H54" i="27"/>
  <c r="H53" i="27"/>
  <c r="H52" i="27"/>
  <c r="H51" i="27"/>
  <c r="H50" i="27"/>
  <c r="H49" i="27"/>
  <c r="H48" i="27"/>
  <c r="H47" i="27"/>
  <c r="H46" i="27"/>
  <c r="H45" i="27"/>
  <c r="H4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7" i="27"/>
  <c r="H6" i="27"/>
  <c r="H5" i="27"/>
  <c r="H4" i="27"/>
  <c r="H3" i="27"/>
  <c r="F93" i="27"/>
  <c r="F92" i="27"/>
  <c r="F91" i="27"/>
  <c r="F90" i="27"/>
  <c r="F89" i="27"/>
  <c r="F88" i="27"/>
  <c r="F87" i="27"/>
  <c r="F86" i="27"/>
  <c r="F85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F6" i="27"/>
  <c r="F5" i="27"/>
  <c r="F4" i="27"/>
  <c r="F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72" i="27"/>
  <c r="E73" i="27"/>
  <c r="E74" i="27"/>
  <c r="E75" i="27"/>
  <c r="E76" i="27"/>
  <c r="E77" i="27"/>
  <c r="E78" i="27"/>
  <c r="E79" i="27"/>
  <c r="E80" i="27"/>
  <c r="E81" i="27"/>
  <c r="E82" i="27"/>
  <c r="E83" i="27"/>
  <c r="E84" i="27"/>
  <c r="E85" i="27"/>
  <c r="E86" i="27"/>
  <c r="E87" i="27"/>
  <c r="E88" i="27"/>
  <c r="E89" i="27"/>
  <c r="E90" i="27"/>
  <c r="E91" i="27"/>
  <c r="E92" i="27"/>
  <c r="E93" i="27"/>
  <c r="E3" i="27"/>
  <c r="D4" i="27"/>
  <c r="D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C93" i="27"/>
  <c r="B5" i="27"/>
  <c r="B6" i="27" s="1"/>
  <c r="B4" i="27"/>
  <c r="C4" i="27" s="1"/>
  <c r="D3" i="27"/>
  <c r="C5" i="27"/>
  <c r="C3" i="27"/>
  <c r="B7" i="27" l="1"/>
  <c r="C6" i="27"/>
  <c r="O12" i="26"/>
  <c r="C64" i="3"/>
  <c r="C63" i="3"/>
  <c r="C48" i="3"/>
  <c r="C47" i="3"/>
  <c r="C31" i="3"/>
  <c r="C32" i="3"/>
  <c r="K36" i="3"/>
  <c r="C62" i="3"/>
  <c r="C61" i="3"/>
  <c r="C60" i="3"/>
  <c r="C59" i="3"/>
  <c r="C58" i="3"/>
  <c r="C57" i="3"/>
  <c r="C46" i="3"/>
  <c r="C45" i="3"/>
  <c r="C44" i="3"/>
  <c r="C43" i="3"/>
  <c r="C42" i="3"/>
  <c r="C41" i="3"/>
  <c r="C30" i="3"/>
  <c r="C29" i="3"/>
  <c r="K20" i="3"/>
  <c r="C28" i="3"/>
  <c r="C27" i="3"/>
  <c r="C26" i="3"/>
  <c r="C25" i="3"/>
  <c r="C7" i="27" l="1"/>
  <c r="B8" i="27"/>
  <c r="O41" i="26"/>
  <c r="O42" i="26"/>
  <c r="O43" i="26"/>
  <c r="O44" i="26"/>
  <c r="O39" i="26"/>
  <c r="O38" i="26"/>
  <c r="O37" i="26"/>
  <c r="O27" i="26"/>
  <c r="O28" i="26"/>
  <c r="O29" i="26"/>
  <c r="O30" i="26"/>
  <c r="O31" i="26"/>
  <c r="O33" i="26"/>
  <c r="O34" i="26"/>
  <c r="O13" i="26"/>
  <c r="O14" i="26"/>
  <c r="O15" i="26"/>
  <c r="O16" i="26"/>
  <c r="O22" i="26"/>
  <c r="O23" i="26"/>
  <c r="O24" i="26"/>
  <c r="O25" i="26"/>
  <c r="O4" i="26"/>
  <c r="O6" i="26"/>
  <c r="O8" i="26"/>
  <c r="O10" i="26"/>
  <c r="O11" i="26"/>
  <c r="C8" i="27" l="1"/>
  <c r="B9" i="27"/>
  <c r="Q42" i="3"/>
  <c r="V42" i="3" s="1"/>
  <c r="Q38" i="3"/>
  <c r="C9" i="27" l="1"/>
  <c r="B10" i="27"/>
  <c r="R38" i="3"/>
  <c r="S38" i="3" s="1"/>
  <c r="T38" i="3" s="1"/>
  <c r="R42" i="3"/>
  <c r="T42" i="3"/>
  <c r="L12" i="2"/>
  <c r="L8" i="2" s="1"/>
  <c r="D12" i="2"/>
  <c r="D8" i="2" s="1"/>
  <c r="C10" i="27" l="1"/>
  <c r="B11" i="27"/>
  <c r="AH21" i="18"/>
  <c r="AG20" i="18"/>
  <c r="AH20" i="18"/>
  <c r="AF19" i="18"/>
  <c r="AG19" i="18"/>
  <c r="AH19" i="18"/>
  <c r="AE18" i="18"/>
  <c r="AF18" i="18"/>
  <c r="AG18" i="18"/>
  <c r="AH18" i="18"/>
  <c r="AD17" i="18"/>
  <c r="AE17" i="18"/>
  <c r="AF17" i="18"/>
  <c r="AG17" i="18"/>
  <c r="AH17" i="18"/>
  <c r="AC16" i="18"/>
  <c r="AD16" i="18"/>
  <c r="AE16" i="18"/>
  <c r="AF16" i="18"/>
  <c r="AG16" i="18"/>
  <c r="AH16" i="18"/>
  <c r="AB15" i="18"/>
  <c r="AC15" i="18"/>
  <c r="AD15" i="18"/>
  <c r="AE15" i="18"/>
  <c r="AF15" i="18"/>
  <c r="AG15" i="18"/>
  <c r="AH15" i="18"/>
  <c r="AA14" i="18"/>
  <c r="AB14" i="18"/>
  <c r="AC14" i="18"/>
  <c r="AD14" i="18"/>
  <c r="AE14" i="18"/>
  <c r="AF14" i="18"/>
  <c r="AG14" i="18"/>
  <c r="AH14" i="18"/>
  <c r="Z13" i="18"/>
  <c r="AA13" i="18"/>
  <c r="AB13" i="18"/>
  <c r="AC13" i="18"/>
  <c r="AD13" i="18"/>
  <c r="AE13" i="18"/>
  <c r="AF13" i="18"/>
  <c r="AG13" i="18"/>
  <c r="AH13" i="18"/>
  <c r="Y12" i="18"/>
  <c r="Z12" i="18"/>
  <c r="AA12" i="18"/>
  <c r="AB12" i="18"/>
  <c r="AC12" i="18"/>
  <c r="AD12" i="18"/>
  <c r="AE12" i="18"/>
  <c r="AF12" i="18"/>
  <c r="AG12" i="18"/>
  <c r="AH12" i="18"/>
  <c r="X11" i="18"/>
  <c r="Y11" i="18"/>
  <c r="Z11" i="18"/>
  <c r="AA11" i="18"/>
  <c r="AB11" i="18"/>
  <c r="AC11" i="18"/>
  <c r="AD11" i="18"/>
  <c r="AE11" i="18"/>
  <c r="AF11" i="18"/>
  <c r="AG11" i="18"/>
  <c r="AH11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T6" i="18"/>
  <c r="U6" i="18"/>
  <c r="V6" i="18"/>
  <c r="W6" i="18"/>
  <c r="X6" i="18"/>
  <c r="Y6" i="18"/>
  <c r="Z6" i="18"/>
  <c r="AA6" i="18"/>
  <c r="AB6" i="18"/>
  <c r="AC6" i="18"/>
  <c r="AD6" i="18"/>
  <c r="AE6" i="18"/>
  <c r="AF6" i="18"/>
  <c r="AG6" i="18"/>
  <c r="AH6" i="18"/>
  <c r="S6" i="18"/>
  <c r="L33" i="18"/>
  <c r="S8" i="18"/>
  <c r="S9" i="18"/>
  <c r="T9" i="18"/>
  <c r="S10" i="18"/>
  <c r="T10" i="18"/>
  <c r="U10" i="18"/>
  <c r="S11" i="18"/>
  <c r="T11" i="18"/>
  <c r="U11" i="18"/>
  <c r="V11" i="18"/>
  <c r="S12" i="18"/>
  <c r="T12" i="18"/>
  <c r="U12" i="18"/>
  <c r="V12" i="18"/>
  <c r="W12" i="18"/>
  <c r="S13" i="18"/>
  <c r="T13" i="18"/>
  <c r="U13" i="18"/>
  <c r="V13" i="18"/>
  <c r="W13" i="18"/>
  <c r="X13" i="18"/>
  <c r="S14" i="18"/>
  <c r="T14" i="18"/>
  <c r="U14" i="18"/>
  <c r="V14" i="18"/>
  <c r="W14" i="18"/>
  <c r="X14" i="18"/>
  <c r="Y14" i="18"/>
  <c r="S15" i="18"/>
  <c r="T15" i="18"/>
  <c r="U15" i="18"/>
  <c r="V15" i="18"/>
  <c r="W15" i="18"/>
  <c r="X15" i="18"/>
  <c r="Y15" i="18"/>
  <c r="Z15" i="18"/>
  <c r="S16" i="18"/>
  <c r="T16" i="18"/>
  <c r="U16" i="18"/>
  <c r="V16" i="18"/>
  <c r="W16" i="18"/>
  <c r="X16" i="18"/>
  <c r="Y16" i="18"/>
  <c r="Z16" i="18"/>
  <c r="AA16" i="18"/>
  <c r="S17" i="18"/>
  <c r="T17" i="18"/>
  <c r="U17" i="18"/>
  <c r="V17" i="18"/>
  <c r="W17" i="18"/>
  <c r="X17" i="18"/>
  <c r="Y17" i="18"/>
  <c r="Z17" i="18"/>
  <c r="AA17" i="18"/>
  <c r="AB17" i="18"/>
  <c r="S18" i="18"/>
  <c r="T18" i="18"/>
  <c r="U18" i="18"/>
  <c r="V18" i="18"/>
  <c r="W18" i="18"/>
  <c r="X18" i="18"/>
  <c r="Y18" i="18"/>
  <c r="Z18" i="18"/>
  <c r="AA18" i="18"/>
  <c r="AB18" i="18"/>
  <c r="AC18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R8" i="18"/>
  <c r="R9" i="18"/>
  <c r="R10" i="18"/>
  <c r="R11" i="18"/>
  <c r="R12" i="18"/>
  <c r="R13" i="18"/>
  <c r="R14" i="18"/>
  <c r="R15" i="18"/>
  <c r="R16" i="18"/>
  <c r="R17" i="18"/>
  <c r="R18" i="18"/>
  <c r="R19" i="18"/>
  <c r="R20" i="18"/>
  <c r="R21" i="18"/>
  <c r="R22" i="18"/>
  <c r="R7" i="18"/>
  <c r="C11" i="27" l="1"/>
  <c r="B12" i="27"/>
  <c r="I10" i="18"/>
  <c r="B13" i="27" l="1"/>
  <c r="C12" i="27"/>
  <c r="M45" i="3"/>
  <c r="L45" i="3"/>
  <c r="I37" i="3"/>
  <c r="F37" i="3"/>
  <c r="C13" i="27" l="1"/>
  <c r="B14" i="27"/>
  <c r="N43" i="3"/>
  <c r="L43" i="3"/>
  <c r="L41" i="3" s="1"/>
  <c r="M43" i="3"/>
  <c r="O43" i="3"/>
  <c r="O41" i="3"/>
  <c r="O36" i="3" s="1"/>
  <c r="O39" i="3" s="1"/>
  <c r="O44" i="3"/>
  <c r="M44" i="3"/>
  <c r="L40" i="3"/>
  <c r="O45" i="3"/>
  <c r="M40" i="3"/>
  <c r="O40" i="3"/>
  <c r="N45" i="3"/>
  <c r="M41" i="3"/>
  <c r="M36" i="3" s="1"/>
  <c r="M39" i="3" s="1"/>
  <c r="N40" i="3"/>
  <c r="F18" i="24"/>
  <c r="D18" i="24"/>
  <c r="F16" i="24"/>
  <c r="F17" i="24"/>
  <c r="F19" i="24"/>
  <c r="F20" i="24"/>
  <c r="D16" i="24"/>
  <c r="D17" i="24"/>
  <c r="D19" i="24"/>
  <c r="D20" i="24"/>
  <c r="E9" i="24"/>
  <c r="C9" i="24"/>
  <c r="E6" i="24"/>
  <c r="C6" i="24"/>
  <c r="J7" i="3"/>
  <c r="G28" i="18"/>
  <c r="G27" i="18"/>
  <c r="G26" i="18"/>
  <c r="F26" i="18"/>
  <c r="F28" i="18"/>
  <c r="F27" i="18"/>
  <c r="M38" i="18"/>
  <c r="L38" i="18"/>
  <c r="M37" i="18"/>
  <c r="L37" i="18"/>
  <c r="E141" i="4"/>
  <c r="F141" i="4" s="1"/>
  <c r="D143" i="4"/>
  <c r="D142" i="4"/>
  <c r="E7" i="3"/>
  <c r="F15" i="23"/>
  <c r="F16" i="23"/>
  <c r="F9" i="23"/>
  <c r="M60" i="3"/>
  <c r="M59" i="3"/>
  <c r="L59" i="3"/>
  <c r="C5" i="22"/>
  <c r="C43" i="22"/>
  <c r="C80" i="22"/>
  <c r="E157" i="4"/>
  <c r="E156" i="4"/>
  <c r="F53" i="3"/>
  <c r="I69" i="3"/>
  <c r="M77" i="3" s="1"/>
  <c r="F69" i="3"/>
  <c r="L77" i="3" s="1"/>
  <c r="M12" i="19"/>
  <c r="F12" i="19"/>
  <c r="M4" i="19"/>
  <c r="M6" i="19" s="1"/>
  <c r="F4" i="19"/>
  <c r="M53" i="4"/>
  <c r="H12" i="3"/>
  <c r="I12" i="3" s="1"/>
  <c r="J47" i="4"/>
  <c r="J26" i="18"/>
  <c r="I8" i="18"/>
  <c r="E150" i="4"/>
  <c r="E149" i="4"/>
  <c r="F31" i="18"/>
  <c r="F32" i="18"/>
  <c r="L25" i="18"/>
  <c r="D7" i="20"/>
  <c r="D17" i="20" s="1"/>
  <c r="D18" i="20" s="1"/>
  <c r="D6" i="20"/>
  <c r="D8" i="18"/>
  <c r="E8" i="18" s="1"/>
  <c r="F8" i="18"/>
  <c r="G8" i="18" s="1"/>
  <c r="F17" i="18"/>
  <c r="G17" i="18" s="1"/>
  <c r="D17" i="18"/>
  <c r="J17" i="18" s="1"/>
  <c r="I17" i="18"/>
  <c r="D7" i="18"/>
  <c r="D10" i="18" s="1"/>
  <c r="E10" i="18" s="1"/>
  <c r="F18" i="18"/>
  <c r="G18" i="18" s="1"/>
  <c r="F16" i="18"/>
  <c r="G16" i="18" s="1"/>
  <c r="F15" i="18"/>
  <c r="G15" i="18" s="1"/>
  <c r="D11" i="18"/>
  <c r="E11" i="18" s="1"/>
  <c r="E6" i="18"/>
  <c r="D18" i="18"/>
  <c r="J18" i="18" s="1"/>
  <c r="D16" i="18"/>
  <c r="J16" i="18" s="1"/>
  <c r="F11" i="19"/>
  <c r="F11" i="18"/>
  <c r="G11" i="18" s="1"/>
  <c r="G6" i="18"/>
  <c r="F7" i="18"/>
  <c r="M7" i="18" s="1"/>
  <c r="I11" i="18"/>
  <c r="D15" i="18"/>
  <c r="E15" i="18" s="1"/>
  <c r="I15" i="18"/>
  <c r="I18" i="18"/>
  <c r="M33" i="18"/>
  <c r="L34" i="18"/>
  <c r="M34" i="18"/>
  <c r="L41" i="18"/>
  <c r="M41" i="18"/>
  <c r="L42" i="18"/>
  <c r="M42" i="18"/>
  <c r="E43" i="18"/>
  <c r="G43" i="18"/>
  <c r="E44" i="18"/>
  <c r="G44" i="18"/>
  <c r="E45" i="18"/>
  <c r="G45" i="18"/>
  <c r="E46" i="18"/>
  <c r="G46" i="18"/>
  <c r="E47" i="18"/>
  <c r="G47" i="18"/>
  <c r="E48" i="18"/>
  <c r="G48" i="18"/>
  <c r="E49" i="18"/>
  <c r="G49" i="18"/>
  <c r="E50" i="18"/>
  <c r="G50" i="18"/>
  <c r="E51" i="18"/>
  <c r="G51" i="18"/>
  <c r="E52" i="18"/>
  <c r="G52" i="18"/>
  <c r="E53" i="18"/>
  <c r="G53" i="18"/>
  <c r="E54" i="18"/>
  <c r="G54" i="18"/>
  <c r="E55" i="18"/>
  <c r="G55" i="18"/>
  <c r="E56" i="18"/>
  <c r="G56" i="18"/>
  <c r="E57" i="18"/>
  <c r="G57" i="18"/>
  <c r="E58" i="18"/>
  <c r="G58" i="18"/>
  <c r="E59" i="18"/>
  <c r="G59" i="18"/>
  <c r="E60" i="18"/>
  <c r="G60" i="18"/>
  <c r="E61" i="18"/>
  <c r="G61" i="18"/>
  <c r="E62" i="18"/>
  <c r="G62" i="18"/>
  <c r="E63" i="18"/>
  <c r="G63" i="18"/>
  <c r="F11" i="6"/>
  <c r="E11" i="6"/>
  <c r="C19" i="15"/>
  <c r="B19" i="15"/>
  <c r="C20" i="15"/>
  <c r="B20" i="15"/>
  <c r="D20" i="15"/>
  <c r="C21" i="15"/>
  <c r="B21" i="15"/>
  <c r="D21" i="15"/>
  <c r="C22" i="15"/>
  <c r="D22" i="15"/>
  <c r="B22" i="15"/>
  <c r="C23" i="15"/>
  <c r="B23" i="15"/>
  <c r="C24" i="15"/>
  <c r="B24" i="15"/>
  <c r="C25" i="15"/>
  <c r="B25" i="15"/>
  <c r="D25" i="15"/>
  <c r="C26" i="15"/>
  <c r="B26" i="15"/>
  <c r="C27" i="15"/>
  <c r="B27" i="15"/>
  <c r="C28" i="15"/>
  <c r="B28" i="15"/>
  <c r="C29" i="15"/>
  <c r="B29" i="15"/>
  <c r="C30" i="15"/>
  <c r="B30" i="15"/>
  <c r="C31" i="15"/>
  <c r="D31" i="15"/>
  <c r="B31" i="15"/>
  <c r="C32" i="15"/>
  <c r="D32" i="15"/>
  <c r="B32" i="15"/>
  <c r="C33" i="15"/>
  <c r="B33" i="15"/>
  <c r="D33" i="15"/>
  <c r="C34" i="15"/>
  <c r="B34" i="15"/>
  <c r="C35" i="15"/>
  <c r="B35" i="15"/>
  <c r="D35" i="15"/>
  <c r="C36" i="15"/>
  <c r="D36" i="15"/>
  <c r="B36" i="15"/>
  <c r="C37" i="15"/>
  <c r="D37" i="15"/>
  <c r="B37" i="15"/>
  <c r="C38" i="15"/>
  <c r="B38" i="15"/>
  <c r="C39" i="15"/>
  <c r="B39" i="15"/>
  <c r="C40" i="15"/>
  <c r="B40" i="15"/>
  <c r="C41" i="15"/>
  <c r="B41" i="15"/>
  <c r="D41" i="15"/>
  <c r="C42" i="15"/>
  <c r="D42" i="15"/>
  <c r="B42" i="15"/>
  <c r="C43" i="15"/>
  <c r="D43" i="15"/>
  <c r="B43" i="15"/>
  <c r="C44" i="15"/>
  <c r="B44" i="15"/>
  <c r="C45" i="15"/>
  <c r="D45" i="15"/>
  <c r="B45" i="15"/>
  <c r="C46" i="15"/>
  <c r="B46" i="15"/>
  <c r="D46" i="15"/>
  <c r="C47" i="15"/>
  <c r="B47" i="15"/>
  <c r="D47" i="15"/>
  <c r="C48" i="15"/>
  <c r="B48" i="15"/>
  <c r="C49" i="15"/>
  <c r="B49" i="15"/>
  <c r="C50" i="15"/>
  <c r="B50" i="15"/>
  <c r="C51" i="15"/>
  <c r="D51" i="15"/>
  <c r="B51" i="15"/>
  <c r="C52" i="15"/>
  <c r="D52" i="15"/>
  <c r="B52" i="15"/>
  <c r="C53" i="15"/>
  <c r="D53" i="15"/>
  <c r="B53" i="15"/>
  <c r="C54" i="15"/>
  <c r="B54" i="15"/>
  <c r="C55" i="15"/>
  <c r="D55" i="15"/>
  <c r="B55" i="15"/>
  <c r="C56" i="15"/>
  <c r="B56" i="15"/>
  <c r="D56" i="15"/>
  <c r="C57" i="15"/>
  <c r="D57" i="15"/>
  <c r="B57" i="15"/>
  <c r="C58" i="15"/>
  <c r="B58" i="15"/>
  <c r="C59" i="15"/>
  <c r="B59" i="15"/>
  <c r="D59" i="15"/>
  <c r="C60" i="15"/>
  <c r="B60" i="15"/>
  <c r="C61" i="15"/>
  <c r="B61" i="15"/>
  <c r="D61" i="15"/>
  <c r="C62" i="15"/>
  <c r="B62" i="15"/>
  <c r="D62" i="15"/>
  <c r="C63" i="15"/>
  <c r="B63" i="15"/>
  <c r="C64" i="15"/>
  <c r="B64" i="15"/>
  <c r="C65" i="15"/>
  <c r="B65" i="15"/>
  <c r="C66" i="15"/>
  <c r="B66" i="15"/>
  <c r="C67" i="15"/>
  <c r="B67" i="15"/>
  <c r="C68" i="15"/>
  <c r="D68" i="15"/>
  <c r="B68" i="15"/>
  <c r="C18" i="15"/>
  <c r="B18" i="15"/>
  <c r="D18" i="15"/>
  <c r="D4" i="15"/>
  <c r="F4" i="15"/>
  <c r="F7" i="15"/>
  <c r="F6" i="15"/>
  <c r="C7" i="15"/>
  <c r="D10" i="15"/>
  <c r="F10" i="15"/>
  <c r="F13" i="15"/>
  <c r="D12" i="15"/>
  <c r="E12" i="15"/>
  <c r="C13" i="15"/>
  <c r="H3" i="14"/>
  <c r="H6" i="14"/>
  <c r="H4" i="14"/>
  <c r="H5" i="14"/>
  <c r="A14" i="14"/>
  <c r="A15" i="14"/>
  <c r="H8" i="14"/>
  <c r="D14" i="14"/>
  <c r="D13" i="14"/>
  <c r="D27" i="2"/>
  <c r="C12" i="3"/>
  <c r="D12" i="3" s="1"/>
  <c r="E175" i="4"/>
  <c r="I174" i="4"/>
  <c r="I176" i="4"/>
  <c r="E165" i="4"/>
  <c r="I164" i="4"/>
  <c r="I166" i="4"/>
  <c r="D123" i="4"/>
  <c r="F120" i="4"/>
  <c r="F122" i="4"/>
  <c r="F117" i="4"/>
  <c r="I32" i="2"/>
  <c r="D74" i="2"/>
  <c r="F72" i="2" s="1"/>
  <c r="D72" i="2"/>
  <c r="D73" i="2"/>
  <c r="J13" i="2"/>
  <c r="J12" i="2"/>
  <c r="J14" i="2"/>
  <c r="G21" i="2"/>
  <c r="H21" i="2" s="1"/>
  <c r="F19" i="2"/>
  <c r="E195" i="4"/>
  <c r="E196" i="4" s="1"/>
  <c r="E194" i="4"/>
  <c r="E193" i="4"/>
  <c r="E192" i="4"/>
  <c r="E190" i="4"/>
  <c r="E191" i="4"/>
  <c r="E186" i="4"/>
  <c r="E184" i="4"/>
  <c r="E185" i="4"/>
  <c r="G12" i="4"/>
  <c r="G13" i="4" s="1"/>
  <c r="F125" i="4"/>
  <c r="J164" i="4"/>
  <c r="L164" i="4" s="1"/>
  <c r="C212" i="4"/>
  <c r="D212" i="4"/>
  <c r="E216" i="4" s="1"/>
  <c r="C214" i="4"/>
  <c r="G214" i="4" s="1"/>
  <c r="F216" i="4" s="1"/>
  <c r="C205" i="4"/>
  <c r="G205" i="4" s="1"/>
  <c r="C203" i="4"/>
  <c r="D203" i="4"/>
  <c r="F175" i="4"/>
  <c r="J176" i="4"/>
  <c r="L176" i="4" s="1"/>
  <c r="J174" i="4"/>
  <c r="L174" i="4" s="1"/>
  <c r="F165" i="4"/>
  <c r="N170" i="4"/>
  <c r="J166" i="4"/>
  <c r="K166" i="4" s="1"/>
  <c r="D134" i="4"/>
  <c r="D11" i="4"/>
  <c r="D124" i="4"/>
  <c r="D127" i="4" s="1"/>
  <c r="D18" i="6"/>
  <c r="F21" i="3"/>
  <c r="I21" i="3"/>
  <c r="C16" i="3"/>
  <c r="D16" i="3" s="1"/>
  <c r="M29" i="3"/>
  <c r="L29" i="3"/>
  <c r="Q26" i="3"/>
  <c r="V26" i="3" s="1"/>
  <c r="Q22" i="3"/>
  <c r="R22" i="3" s="1"/>
  <c r="C94" i="3"/>
  <c r="D94" i="3"/>
  <c r="H16" i="3"/>
  <c r="I16" i="3" s="1"/>
  <c r="R46" i="9"/>
  <c r="S46" i="9"/>
  <c r="T46" i="9"/>
  <c r="U46" i="9"/>
  <c r="V46" i="9"/>
  <c r="W46" i="9"/>
  <c r="X46" i="9"/>
  <c r="Y46" i="9"/>
  <c r="R47" i="9"/>
  <c r="S47" i="9"/>
  <c r="T47" i="9"/>
  <c r="U47" i="9"/>
  <c r="V47" i="9"/>
  <c r="W47" i="9"/>
  <c r="X47" i="9"/>
  <c r="Y47" i="9"/>
  <c r="R48" i="9"/>
  <c r="S48" i="9"/>
  <c r="T48" i="9"/>
  <c r="U48" i="9"/>
  <c r="V48" i="9"/>
  <c r="W48" i="9"/>
  <c r="X48" i="9"/>
  <c r="Y48" i="9"/>
  <c r="R49" i="9"/>
  <c r="S49" i="9"/>
  <c r="T49" i="9"/>
  <c r="U49" i="9"/>
  <c r="V49" i="9"/>
  <c r="W49" i="9"/>
  <c r="X49" i="9"/>
  <c r="Y49" i="9"/>
  <c r="R50" i="9"/>
  <c r="S50" i="9"/>
  <c r="T50" i="9"/>
  <c r="U50" i="9"/>
  <c r="V50" i="9"/>
  <c r="W50" i="9"/>
  <c r="X50" i="9"/>
  <c r="Y50" i="9"/>
  <c r="R51" i="9"/>
  <c r="S51" i="9"/>
  <c r="T51" i="9"/>
  <c r="U51" i="9"/>
  <c r="V51" i="9"/>
  <c r="W51" i="9"/>
  <c r="X51" i="9"/>
  <c r="Y51" i="9"/>
  <c r="R52" i="9"/>
  <c r="S52" i="9"/>
  <c r="T52" i="9"/>
  <c r="U52" i="9"/>
  <c r="V52" i="9"/>
  <c r="W52" i="9"/>
  <c r="X52" i="9"/>
  <c r="Y52" i="9"/>
  <c r="R53" i="9"/>
  <c r="S53" i="9"/>
  <c r="T53" i="9"/>
  <c r="U53" i="9"/>
  <c r="V53" i="9"/>
  <c r="W53" i="9"/>
  <c r="X53" i="9"/>
  <c r="Y53" i="9"/>
  <c r="R54" i="9"/>
  <c r="S54" i="9"/>
  <c r="T54" i="9"/>
  <c r="U54" i="9"/>
  <c r="V54" i="9"/>
  <c r="W54" i="9"/>
  <c r="X54" i="9"/>
  <c r="Y54" i="9"/>
  <c r="R55" i="9"/>
  <c r="S55" i="9"/>
  <c r="T55" i="9"/>
  <c r="U55" i="9"/>
  <c r="V55" i="9"/>
  <c r="W55" i="9"/>
  <c r="X55" i="9"/>
  <c r="Y55" i="9"/>
  <c r="R56" i="9"/>
  <c r="S56" i="9"/>
  <c r="T56" i="9"/>
  <c r="U56" i="9"/>
  <c r="V56" i="9"/>
  <c r="W56" i="9"/>
  <c r="X56" i="9"/>
  <c r="Y56" i="9"/>
  <c r="R57" i="9"/>
  <c r="S57" i="9"/>
  <c r="T57" i="9"/>
  <c r="U57" i="9"/>
  <c r="V57" i="9"/>
  <c r="W57" i="9"/>
  <c r="X57" i="9"/>
  <c r="Y57" i="9"/>
  <c r="R58" i="9"/>
  <c r="S58" i="9"/>
  <c r="T58" i="9"/>
  <c r="U58" i="9"/>
  <c r="V58" i="9"/>
  <c r="W58" i="9"/>
  <c r="X58" i="9"/>
  <c r="Y58" i="9"/>
  <c r="R59" i="9"/>
  <c r="S59" i="9"/>
  <c r="T59" i="9"/>
  <c r="U59" i="9"/>
  <c r="V59" i="9"/>
  <c r="W59" i="9"/>
  <c r="X59" i="9"/>
  <c r="Y59" i="9"/>
  <c r="R60" i="9"/>
  <c r="S60" i="9"/>
  <c r="T60" i="9"/>
  <c r="U60" i="9"/>
  <c r="V60" i="9"/>
  <c r="W60" i="9"/>
  <c r="X60" i="9"/>
  <c r="Y60" i="9"/>
  <c r="R61" i="9"/>
  <c r="S61" i="9"/>
  <c r="T61" i="9"/>
  <c r="U61" i="9"/>
  <c r="V61" i="9"/>
  <c r="W61" i="9"/>
  <c r="X61" i="9"/>
  <c r="Y61" i="9"/>
  <c r="R62" i="9"/>
  <c r="S62" i="9"/>
  <c r="T62" i="9"/>
  <c r="U62" i="9"/>
  <c r="V62" i="9"/>
  <c r="W62" i="9"/>
  <c r="X62" i="9"/>
  <c r="Y62" i="9"/>
  <c r="R63" i="9"/>
  <c r="S63" i="9"/>
  <c r="T63" i="9"/>
  <c r="U63" i="9"/>
  <c r="V63" i="9"/>
  <c r="W63" i="9"/>
  <c r="X63" i="9"/>
  <c r="Y63" i="9"/>
  <c r="R64" i="9"/>
  <c r="S64" i="9"/>
  <c r="T64" i="9"/>
  <c r="U64" i="9"/>
  <c r="V64" i="9"/>
  <c r="W64" i="9"/>
  <c r="X64" i="9"/>
  <c r="Y64" i="9"/>
  <c r="R65" i="9"/>
  <c r="S65" i="9"/>
  <c r="T65" i="9"/>
  <c r="U65" i="9"/>
  <c r="V65" i="9"/>
  <c r="W65" i="9"/>
  <c r="X65" i="9"/>
  <c r="Y65" i="9"/>
  <c r="R66" i="9"/>
  <c r="S66" i="9"/>
  <c r="T66" i="9"/>
  <c r="U66" i="9"/>
  <c r="V66" i="9"/>
  <c r="W66" i="9"/>
  <c r="X66" i="9"/>
  <c r="Y66" i="9"/>
  <c r="R67" i="9"/>
  <c r="S67" i="9"/>
  <c r="T67" i="9"/>
  <c r="U67" i="9"/>
  <c r="V67" i="9"/>
  <c r="W67" i="9"/>
  <c r="X67" i="9"/>
  <c r="Y67" i="9"/>
  <c r="R68" i="9"/>
  <c r="S68" i="9"/>
  <c r="T68" i="9"/>
  <c r="U68" i="9"/>
  <c r="V68" i="9"/>
  <c r="W68" i="9"/>
  <c r="X68" i="9"/>
  <c r="Y68" i="9"/>
  <c r="R69" i="9"/>
  <c r="S69" i="9"/>
  <c r="T69" i="9"/>
  <c r="U69" i="9"/>
  <c r="V69" i="9"/>
  <c r="W69" i="9"/>
  <c r="X69" i="9"/>
  <c r="Y69" i="9"/>
  <c r="R70" i="9"/>
  <c r="S70" i="9"/>
  <c r="T70" i="9"/>
  <c r="U70" i="9"/>
  <c r="V70" i="9"/>
  <c r="W70" i="9"/>
  <c r="X70" i="9"/>
  <c r="Y70" i="9"/>
  <c r="R71" i="9"/>
  <c r="S71" i="9"/>
  <c r="T71" i="9"/>
  <c r="U71" i="9"/>
  <c r="V71" i="9"/>
  <c r="W71" i="9"/>
  <c r="X71" i="9"/>
  <c r="Y71" i="9"/>
  <c r="S45" i="9"/>
  <c r="T45" i="9"/>
  <c r="U45" i="9"/>
  <c r="V45" i="9"/>
  <c r="W45" i="9"/>
  <c r="X45" i="9"/>
  <c r="Y45" i="9"/>
  <c r="R45" i="9"/>
  <c r="E7" i="12"/>
  <c r="E6" i="12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E163" i="14"/>
  <c r="E164" i="14"/>
  <c r="E165" i="14"/>
  <c r="E166" i="14"/>
  <c r="E167" i="14"/>
  <c r="E168" i="14"/>
  <c r="E169" i="14"/>
  <c r="E170" i="14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E199" i="14"/>
  <c r="E200" i="14"/>
  <c r="E201" i="14"/>
  <c r="E202" i="14"/>
  <c r="E203" i="14"/>
  <c r="E204" i="14"/>
  <c r="E205" i="14"/>
  <c r="E206" i="14"/>
  <c r="E207" i="14"/>
  <c r="E208" i="14"/>
  <c r="E209" i="14"/>
  <c r="E210" i="14"/>
  <c r="E211" i="14"/>
  <c r="E212" i="14"/>
  <c r="E213" i="14"/>
  <c r="E214" i="14"/>
  <c r="E215" i="14"/>
  <c r="E216" i="14"/>
  <c r="E217" i="14"/>
  <c r="E218" i="14"/>
  <c r="E219" i="14"/>
  <c r="E220" i="14"/>
  <c r="E221" i="14"/>
  <c r="E222" i="14"/>
  <c r="E223" i="14"/>
  <c r="E224" i="14"/>
  <c r="E225" i="14"/>
  <c r="E226" i="14"/>
  <c r="E227" i="14"/>
  <c r="E228" i="14"/>
  <c r="E229" i="14"/>
  <c r="E230" i="14"/>
  <c r="E231" i="14"/>
  <c r="E232" i="14"/>
  <c r="E233" i="14"/>
  <c r="E234" i="14"/>
  <c r="E235" i="14"/>
  <c r="E236" i="14"/>
  <c r="E237" i="14"/>
  <c r="E238" i="14"/>
  <c r="E239" i="14"/>
  <c r="E240" i="14"/>
  <c r="E241" i="14"/>
  <c r="E242" i="14"/>
  <c r="E243" i="14"/>
  <c r="E244" i="14"/>
  <c r="E245" i="14"/>
  <c r="E246" i="14"/>
  <c r="E247" i="14"/>
  <c r="E248" i="14"/>
  <c r="E249" i="14"/>
  <c r="E250" i="14"/>
  <c r="E251" i="14"/>
  <c r="E252" i="14"/>
  <c r="E253" i="14"/>
  <c r="E254" i="14"/>
  <c r="E255" i="14"/>
  <c r="E256" i="14"/>
  <c r="E257" i="14"/>
  <c r="E258" i="14"/>
  <c r="E259" i="14"/>
  <c r="E260" i="14"/>
  <c r="E261" i="14"/>
  <c r="E262" i="14"/>
  <c r="E263" i="14"/>
  <c r="E264" i="14"/>
  <c r="E265" i="14"/>
  <c r="E266" i="14"/>
  <c r="E267" i="14"/>
  <c r="E268" i="14"/>
  <c r="E269" i="14"/>
  <c r="E270" i="14"/>
  <c r="E271" i="14"/>
  <c r="E272" i="14"/>
  <c r="E273" i="14"/>
  <c r="E274" i="14"/>
  <c r="E275" i="14"/>
  <c r="E276" i="14"/>
  <c r="E277" i="14"/>
  <c r="E278" i="14"/>
  <c r="E279" i="14"/>
  <c r="E280" i="14"/>
  <c r="E281" i="14"/>
  <c r="E282" i="14"/>
  <c r="E283" i="14"/>
  <c r="E284" i="14"/>
  <c r="E285" i="14"/>
  <c r="E286" i="14"/>
  <c r="E287" i="14"/>
  <c r="E288" i="14"/>
  <c r="E289" i="14"/>
  <c r="E290" i="14"/>
  <c r="E291" i="14"/>
  <c r="E292" i="14"/>
  <c r="E293" i="14"/>
  <c r="E294" i="14"/>
  <c r="E295" i="14"/>
  <c r="E296" i="14"/>
  <c r="E297" i="14"/>
  <c r="E298" i="14"/>
  <c r="E299" i="14"/>
  <c r="E300" i="14"/>
  <c r="E301" i="14"/>
  <c r="E302" i="14"/>
  <c r="E303" i="14"/>
  <c r="E304" i="14"/>
  <c r="E305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E318" i="14"/>
  <c r="E319" i="14"/>
  <c r="E320" i="14"/>
  <c r="E321" i="14"/>
  <c r="E322" i="14"/>
  <c r="E323" i="14"/>
  <c r="E324" i="14"/>
  <c r="E325" i="14"/>
  <c r="E326" i="14"/>
  <c r="E327" i="14"/>
  <c r="E328" i="14"/>
  <c r="E329" i="14"/>
  <c r="E330" i="14"/>
  <c r="E331" i="14"/>
  <c r="E332" i="14"/>
  <c r="E333" i="14"/>
  <c r="E334" i="14"/>
  <c r="E335" i="14"/>
  <c r="E336" i="14"/>
  <c r="E337" i="14"/>
  <c r="E338" i="14"/>
  <c r="E339" i="14"/>
  <c r="E340" i="14"/>
  <c r="E341" i="14"/>
  <c r="E342" i="14"/>
  <c r="E343" i="14"/>
  <c r="E344" i="14"/>
  <c r="E345" i="14"/>
  <c r="E346" i="14"/>
  <c r="E347" i="14"/>
  <c r="E348" i="14"/>
  <c r="E349" i="14"/>
  <c r="E350" i="14"/>
  <c r="E351" i="14"/>
  <c r="E352" i="14"/>
  <c r="E353" i="14"/>
  <c r="E354" i="14"/>
  <c r="E355" i="14"/>
  <c r="E356" i="14"/>
  <c r="E357" i="14"/>
  <c r="E358" i="14"/>
  <c r="E359" i="14"/>
  <c r="E360" i="14"/>
  <c r="E361" i="14"/>
  <c r="E362" i="14"/>
  <c r="E363" i="14"/>
  <c r="E364" i="14"/>
  <c r="E365" i="14"/>
  <c r="E366" i="14"/>
  <c r="E367" i="14"/>
  <c r="E368" i="14"/>
  <c r="E369" i="14"/>
  <c r="E370" i="14"/>
  <c r="E371" i="14"/>
  <c r="E372" i="14"/>
  <c r="E373" i="14"/>
  <c r="E374" i="14"/>
  <c r="E375" i="14"/>
  <c r="E376" i="14"/>
  <c r="E377" i="14"/>
  <c r="E378" i="14"/>
  <c r="E379" i="14"/>
  <c r="E380" i="14"/>
  <c r="E381" i="14"/>
  <c r="E382" i="14"/>
  <c r="E383" i="14"/>
  <c r="E384" i="14"/>
  <c r="E385" i="14"/>
  <c r="E386" i="14"/>
  <c r="E387" i="14"/>
  <c r="E388" i="14"/>
  <c r="E389" i="14"/>
  <c r="E390" i="14"/>
  <c r="E391" i="14"/>
  <c r="E392" i="14"/>
  <c r="E393" i="14"/>
  <c r="E394" i="14"/>
  <c r="E395" i="14"/>
  <c r="E396" i="14"/>
  <c r="E397" i="14"/>
  <c r="E398" i="14"/>
  <c r="E399" i="14"/>
  <c r="E400" i="14"/>
  <c r="E401" i="14"/>
  <c r="E402" i="14"/>
  <c r="E403" i="14"/>
  <c r="E404" i="14"/>
  <c r="E405" i="14"/>
  <c r="E406" i="14"/>
  <c r="E407" i="14"/>
  <c r="E408" i="14"/>
  <c r="E409" i="14"/>
  <c r="E410" i="14"/>
  <c r="E411" i="14"/>
  <c r="E412" i="14"/>
  <c r="E413" i="14"/>
  <c r="E414" i="14"/>
  <c r="E415" i="14"/>
  <c r="E416" i="14"/>
  <c r="E417" i="14"/>
  <c r="E418" i="14"/>
  <c r="E419" i="14"/>
  <c r="E420" i="14"/>
  <c r="E421" i="14"/>
  <c r="E422" i="14"/>
  <c r="E423" i="14"/>
  <c r="E424" i="14"/>
  <c r="E425" i="14"/>
  <c r="E426" i="14"/>
  <c r="E427" i="14"/>
  <c r="E428" i="14"/>
  <c r="E429" i="14"/>
  <c r="E430" i="14"/>
  <c r="E431" i="14"/>
  <c r="E432" i="14"/>
  <c r="E433" i="14"/>
  <c r="E434" i="14"/>
  <c r="E435" i="14"/>
  <c r="E436" i="14"/>
  <c r="E437" i="14"/>
  <c r="E438" i="14"/>
  <c r="E439" i="14"/>
  <c r="E440" i="14"/>
  <c r="E441" i="14"/>
  <c r="E442" i="14"/>
  <c r="E443" i="14"/>
  <c r="E444" i="14"/>
  <c r="E445" i="14"/>
  <c r="E446" i="14"/>
  <c r="E447" i="14"/>
  <c r="E448" i="14"/>
  <c r="E449" i="14"/>
  <c r="E450" i="14"/>
  <c r="E451" i="14"/>
  <c r="E452" i="14"/>
  <c r="E453" i="14"/>
  <c r="E454" i="14"/>
  <c r="E455" i="14"/>
  <c r="E456" i="14"/>
  <c r="E457" i="14"/>
  <c r="E458" i="14"/>
  <c r="E459" i="14"/>
  <c r="E460" i="14"/>
  <c r="E461" i="14"/>
  <c r="E462" i="14"/>
  <c r="E463" i="14"/>
  <c r="E464" i="14"/>
  <c r="E465" i="14"/>
  <c r="E466" i="14"/>
  <c r="E467" i="14"/>
  <c r="E468" i="14"/>
  <c r="E469" i="14"/>
  <c r="E470" i="14"/>
  <c r="E471" i="14"/>
  <c r="E472" i="14"/>
  <c r="E473" i="14"/>
  <c r="E474" i="14"/>
  <c r="E475" i="14"/>
  <c r="E476" i="14"/>
  <c r="E477" i="14"/>
  <c r="E478" i="14"/>
  <c r="E479" i="14"/>
  <c r="E480" i="14"/>
  <c r="E481" i="14"/>
  <c r="E482" i="14"/>
  <c r="E483" i="14"/>
  <c r="E484" i="14"/>
  <c r="E485" i="14"/>
  <c r="E486" i="14"/>
  <c r="E487" i="14"/>
  <c r="E488" i="14"/>
  <c r="E489" i="14"/>
  <c r="E490" i="14"/>
  <c r="E491" i="14"/>
  <c r="E492" i="14"/>
  <c r="E493" i="14"/>
  <c r="E494" i="14"/>
  <c r="E495" i="14"/>
  <c r="E496" i="14"/>
  <c r="E497" i="14"/>
  <c r="E498" i="14"/>
  <c r="E499" i="14"/>
  <c r="E500" i="14"/>
  <c r="E501" i="14"/>
  <c r="E502" i="14"/>
  <c r="E503" i="14"/>
  <c r="E504" i="14"/>
  <c r="E505" i="14"/>
  <c r="E506" i="14"/>
  <c r="E507" i="14"/>
  <c r="E508" i="14"/>
  <c r="E509" i="14"/>
  <c r="E510" i="14"/>
  <c r="E511" i="14"/>
  <c r="E512" i="14"/>
  <c r="E513" i="14"/>
  <c r="E514" i="14"/>
  <c r="E515" i="14"/>
  <c r="E516" i="14"/>
  <c r="E517" i="14"/>
  <c r="E518" i="14"/>
  <c r="E519" i="14"/>
  <c r="E520" i="14"/>
  <c r="E521" i="14"/>
  <c r="E522" i="14"/>
  <c r="E523" i="14"/>
  <c r="E524" i="14"/>
  <c r="E525" i="14"/>
  <c r="E526" i="14"/>
  <c r="E527" i="14"/>
  <c r="E528" i="14"/>
  <c r="E529" i="14"/>
  <c r="E530" i="14"/>
  <c r="E531" i="14"/>
  <c r="E532" i="14"/>
  <c r="E533" i="14"/>
  <c r="E534" i="14"/>
  <c r="E535" i="14"/>
  <c r="E536" i="14"/>
  <c r="E537" i="14"/>
  <c r="E538" i="14"/>
  <c r="E539" i="14"/>
  <c r="E540" i="14"/>
  <c r="E541" i="14"/>
  <c r="E542" i="14"/>
  <c r="E543" i="14"/>
  <c r="E544" i="14"/>
  <c r="E545" i="14"/>
  <c r="E546" i="14"/>
  <c r="E547" i="14"/>
  <c r="E548" i="14"/>
  <c r="E549" i="14"/>
  <c r="E550" i="14"/>
  <c r="E551" i="14"/>
  <c r="E552" i="14"/>
  <c r="E553" i="14"/>
  <c r="E554" i="14"/>
  <c r="E555" i="14"/>
  <c r="E556" i="14"/>
  <c r="E557" i="14"/>
  <c r="E558" i="14"/>
  <c r="E559" i="14"/>
  <c r="E560" i="14"/>
  <c r="E561" i="14"/>
  <c r="E562" i="14"/>
  <c r="E563" i="14"/>
  <c r="E564" i="14"/>
  <c r="E565" i="14"/>
  <c r="E566" i="14"/>
  <c r="E567" i="14"/>
  <c r="E568" i="14"/>
  <c r="E569" i="14"/>
  <c r="E570" i="14"/>
  <c r="E571" i="14"/>
  <c r="E572" i="14"/>
  <c r="E573" i="14"/>
  <c r="E574" i="14"/>
  <c r="E575" i="14"/>
  <c r="E576" i="14"/>
  <c r="E577" i="14"/>
  <c r="E578" i="14"/>
  <c r="E579" i="14"/>
  <c r="E580" i="14"/>
  <c r="E581" i="14"/>
  <c r="E582" i="14"/>
  <c r="E583" i="14"/>
  <c r="E584" i="14"/>
  <c r="E585" i="14"/>
  <c r="E586" i="14"/>
  <c r="E587" i="14"/>
  <c r="E588" i="14"/>
  <c r="E589" i="14"/>
  <c r="E590" i="14"/>
  <c r="E591" i="14"/>
  <c r="E592" i="14"/>
  <c r="E593" i="14"/>
  <c r="E594" i="14"/>
  <c r="E595" i="14"/>
  <c r="E596" i="14"/>
  <c r="E597" i="14"/>
  <c r="E598" i="14"/>
  <c r="E599" i="14"/>
  <c r="E600" i="14"/>
  <c r="E601" i="14"/>
  <c r="E602" i="14"/>
  <c r="E603" i="14"/>
  <c r="E604" i="14"/>
  <c r="E605" i="14"/>
  <c r="E606" i="14"/>
  <c r="E607" i="14"/>
  <c r="E608" i="14"/>
  <c r="E609" i="14"/>
  <c r="E610" i="14"/>
  <c r="E611" i="14"/>
  <c r="E612" i="14"/>
  <c r="E613" i="14"/>
  <c r="E614" i="14"/>
  <c r="E615" i="14"/>
  <c r="E616" i="14"/>
  <c r="E617" i="14"/>
  <c r="E618" i="14"/>
  <c r="E619" i="14"/>
  <c r="E620" i="14"/>
  <c r="E621" i="14"/>
  <c r="E622" i="14"/>
  <c r="E623" i="14"/>
  <c r="E624" i="14"/>
  <c r="E625" i="14"/>
  <c r="E626" i="14"/>
  <c r="E627" i="14"/>
  <c r="E628" i="14"/>
  <c r="E629" i="14"/>
  <c r="E630" i="14"/>
  <c r="E631" i="14"/>
  <c r="E632" i="14"/>
  <c r="E633" i="14"/>
  <c r="E634" i="14"/>
  <c r="E635" i="14"/>
  <c r="E636" i="14"/>
  <c r="E637" i="14"/>
  <c r="E638" i="14"/>
  <c r="E639" i="14"/>
  <c r="E640" i="14"/>
  <c r="E641" i="14"/>
  <c r="E642" i="14"/>
  <c r="E643" i="14"/>
  <c r="E644" i="14"/>
  <c r="E645" i="14"/>
  <c r="E646" i="14"/>
  <c r="E647" i="14"/>
  <c r="E648" i="14"/>
  <c r="E649" i="14"/>
  <c r="E650" i="14"/>
  <c r="E651" i="14"/>
  <c r="E652" i="14"/>
  <c r="E653" i="14"/>
  <c r="E654" i="14"/>
  <c r="E655" i="14"/>
  <c r="E656" i="14"/>
  <c r="E657" i="14"/>
  <c r="E658" i="14"/>
  <c r="E659" i="14"/>
  <c r="E660" i="14"/>
  <c r="E661" i="14"/>
  <c r="E662" i="14"/>
  <c r="E663" i="14"/>
  <c r="E664" i="14"/>
  <c r="E665" i="14"/>
  <c r="E666" i="14"/>
  <c r="E667" i="14"/>
  <c r="E668" i="14"/>
  <c r="E669" i="14"/>
  <c r="E670" i="14"/>
  <c r="E671" i="14"/>
  <c r="E672" i="14"/>
  <c r="E673" i="14"/>
  <c r="E674" i="14"/>
  <c r="E675" i="14"/>
  <c r="E676" i="14"/>
  <c r="E677" i="14"/>
  <c r="E678" i="14"/>
  <c r="E679" i="14"/>
  <c r="E680" i="14"/>
  <c r="E681" i="14"/>
  <c r="E682" i="14"/>
  <c r="E683" i="14"/>
  <c r="E684" i="14"/>
  <c r="E685" i="14"/>
  <c r="E686" i="14"/>
  <c r="E687" i="14"/>
  <c r="E688" i="14"/>
  <c r="E689" i="14"/>
  <c r="E690" i="14"/>
  <c r="E691" i="14"/>
  <c r="E692" i="14"/>
  <c r="E693" i="14"/>
  <c r="E694" i="14"/>
  <c r="E695" i="14"/>
  <c r="E696" i="14"/>
  <c r="E697" i="14"/>
  <c r="E698" i="14"/>
  <c r="E699" i="14"/>
  <c r="E700" i="14"/>
  <c r="E701" i="14"/>
  <c r="E702" i="14"/>
  <c r="E703" i="14"/>
  <c r="E704" i="14"/>
  <c r="E705" i="14"/>
  <c r="E706" i="14"/>
  <c r="E707" i="14"/>
  <c r="E708" i="14"/>
  <c r="E709" i="14"/>
  <c r="E710" i="14"/>
  <c r="E711" i="14"/>
  <c r="E712" i="14"/>
  <c r="E713" i="14"/>
  <c r="E714" i="14"/>
  <c r="E715" i="14"/>
  <c r="E716" i="14"/>
  <c r="E717" i="14"/>
  <c r="E718" i="14"/>
  <c r="E719" i="14"/>
  <c r="E720" i="14"/>
  <c r="E721" i="14"/>
  <c r="E722" i="14"/>
  <c r="E723" i="14"/>
  <c r="E724" i="14"/>
  <c r="E725" i="14"/>
  <c r="E726" i="14"/>
  <c r="E727" i="14"/>
  <c r="E728" i="14"/>
  <c r="E729" i="14"/>
  <c r="E730" i="14"/>
  <c r="E731" i="14"/>
  <c r="E732" i="14"/>
  <c r="E733" i="14"/>
  <c r="E734" i="14"/>
  <c r="E735" i="14"/>
  <c r="E736" i="14"/>
  <c r="E737" i="14"/>
  <c r="E738" i="14"/>
  <c r="E739" i="14"/>
  <c r="E740" i="14"/>
  <c r="E741" i="14"/>
  <c r="E742" i="14"/>
  <c r="E743" i="14"/>
  <c r="E744" i="14"/>
  <c r="E745" i="14"/>
  <c r="E746" i="14"/>
  <c r="E747" i="14"/>
  <c r="E748" i="14"/>
  <c r="E749" i="14"/>
  <c r="E750" i="14"/>
  <c r="E751" i="14"/>
  <c r="E752" i="14"/>
  <c r="E753" i="14"/>
  <c r="E754" i="14"/>
  <c r="E755" i="14"/>
  <c r="E756" i="14"/>
  <c r="E757" i="14"/>
  <c r="E758" i="14"/>
  <c r="E759" i="14"/>
  <c r="E760" i="14"/>
  <c r="E761" i="14"/>
  <c r="E762" i="14"/>
  <c r="E763" i="14"/>
  <c r="E764" i="14"/>
  <c r="E765" i="14"/>
  <c r="E766" i="14"/>
  <c r="E767" i="14"/>
  <c r="E768" i="14"/>
  <c r="E769" i="14"/>
  <c r="E770" i="14"/>
  <c r="E771" i="14"/>
  <c r="E772" i="14"/>
  <c r="E773" i="14"/>
  <c r="E774" i="14"/>
  <c r="E775" i="14"/>
  <c r="E776" i="14"/>
  <c r="E777" i="14"/>
  <c r="E778" i="14"/>
  <c r="E779" i="14"/>
  <c r="E780" i="14"/>
  <c r="E781" i="14"/>
  <c r="E782" i="14"/>
  <c r="E783" i="14"/>
  <c r="E784" i="14"/>
  <c r="E785" i="14"/>
  <c r="E786" i="14"/>
  <c r="E787" i="14"/>
  <c r="E788" i="14"/>
  <c r="E789" i="14"/>
  <c r="E790" i="14"/>
  <c r="E791" i="14"/>
  <c r="E792" i="14"/>
  <c r="E793" i="14"/>
  <c r="E794" i="14"/>
  <c r="E795" i="14"/>
  <c r="E796" i="14"/>
  <c r="E797" i="14"/>
  <c r="E798" i="14"/>
  <c r="E799" i="14"/>
  <c r="E800" i="14"/>
  <c r="E801" i="14"/>
  <c r="E802" i="14"/>
  <c r="E803" i="14"/>
  <c r="E804" i="14"/>
  <c r="E805" i="14"/>
  <c r="E806" i="14"/>
  <c r="E807" i="14"/>
  <c r="E808" i="14"/>
  <c r="E809" i="14"/>
  <c r="E810" i="14"/>
  <c r="E811" i="14"/>
  <c r="E812" i="14"/>
  <c r="E813" i="14"/>
  <c r="E814" i="14"/>
  <c r="E815" i="14"/>
  <c r="E816" i="14"/>
  <c r="E817" i="14"/>
  <c r="E818" i="14"/>
  <c r="E819" i="14"/>
  <c r="E820" i="14"/>
  <c r="E821" i="14"/>
  <c r="E822" i="14"/>
  <c r="E823" i="14"/>
  <c r="E824" i="14"/>
  <c r="E825" i="14"/>
  <c r="E826" i="14"/>
  <c r="E827" i="14"/>
  <c r="E828" i="14"/>
  <c r="E829" i="14"/>
  <c r="E830" i="14"/>
  <c r="E831" i="14"/>
  <c r="E832" i="14"/>
  <c r="E833" i="14"/>
  <c r="E834" i="14"/>
  <c r="E835" i="14"/>
  <c r="E836" i="14"/>
  <c r="E837" i="14"/>
  <c r="E838" i="14"/>
  <c r="E839" i="14"/>
  <c r="E840" i="14"/>
  <c r="E841" i="14"/>
  <c r="E842" i="14"/>
  <c r="E843" i="14"/>
  <c r="E844" i="14"/>
  <c r="E845" i="14"/>
  <c r="E846" i="14"/>
  <c r="E847" i="14"/>
  <c r="E848" i="14"/>
  <c r="E849" i="14"/>
  <c r="E850" i="14"/>
  <c r="E851" i="14"/>
  <c r="E852" i="14"/>
  <c r="E853" i="14"/>
  <c r="E854" i="14"/>
  <c r="E855" i="14"/>
  <c r="E856" i="14"/>
  <c r="E857" i="14"/>
  <c r="E858" i="14"/>
  <c r="E859" i="14"/>
  <c r="E860" i="14"/>
  <c r="E861" i="14"/>
  <c r="E862" i="14"/>
  <c r="E863" i="14"/>
  <c r="E864" i="14"/>
  <c r="E865" i="14"/>
  <c r="E866" i="14"/>
  <c r="E867" i="14"/>
  <c r="E868" i="14"/>
  <c r="E869" i="14"/>
  <c r="E870" i="14"/>
  <c r="E871" i="14"/>
  <c r="E872" i="14"/>
  <c r="E873" i="14"/>
  <c r="E874" i="14"/>
  <c r="E875" i="14"/>
  <c r="E876" i="14"/>
  <c r="E877" i="14"/>
  <c r="E878" i="14"/>
  <c r="E879" i="14"/>
  <c r="E880" i="14"/>
  <c r="E881" i="14"/>
  <c r="E882" i="14"/>
  <c r="E883" i="14"/>
  <c r="E884" i="14"/>
  <c r="E885" i="14"/>
  <c r="E886" i="14"/>
  <c r="E887" i="14"/>
  <c r="E888" i="14"/>
  <c r="E889" i="14"/>
  <c r="E890" i="14"/>
  <c r="E891" i="14"/>
  <c r="E892" i="14"/>
  <c r="E893" i="14"/>
  <c r="E894" i="14"/>
  <c r="E895" i="14"/>
  <c r="E896" i="14"/>
  <c r="E897" i="14"/>
  <c r="E898" i="14"/>
  <c r="E899" i="14"/>
  <c r="E900" i="14"/>
  <c r="E901" i="14"/>
  <c r="E902" i="14"/>
  <c r="E903" i="14"/>
  <c r="E904" i="14"/>
  <c r="E905" i="14"/>
  <c r="E906" i="14"/>
  <c r="E907" i="14"/>
  <c r="E908" i="14"/>
  <c r="E909" i="14"/>
  <c r="E910" i="14"/>
  <c r="E911" i="14"/>
  <c r="E912" i="14"/>
  <c r="E913" i="14"/>
  <c r="E914" i="14"/>
  <c r="E915" i="14"/>
  <c r="E916" i="14"/>
  <c r="E917" i="14"/>
  <c r="E918" i="14"/>
  <c r="E919" i="14"/>
  <c r="E920" i="14"/>
  <c r="E921" i="14"/>
  <c r="E922" i="14"/>
  <c r="E923" i="14"/>
  <c r="E924" i="14"/>
  <c r="E925" i="14"/>
  <c r="E926" i="14"/>
  <c r="E927" i="14"/>
  <c r="E928" i="14"/>
  <c r="E929" i="14"/>
  <c r="E930" i="14"/>
  <c r="E931" i="14"/>
  <c r="E932" i="14"/>
  <c r="E933" i="14"/>
  <c r="E934" i="14"/>
  <c r="E935" i="14"/>
  <c r="E936" i="14"/>
  <c r="E937" i="14"/>
  <c r="E938" i="14"/>
  <c r="E939" i="14"/>
  <c r="E940" i="14"/>
  <c r="E941" i="14"/>
  <c r="E942" i="14"/>
  <c r="E943" i="14"/>
  <c r="E944" i="14"/>
  <c r="E945" i="14"/>
  <c r="E946" i="14"/>
  <c r="E947" i="14"/>
  <c r="E948" i="14"/>
  <c r="E949" i="14"/>
  <c r="E950" i="14"/>
  <c r="E951" i="14"/>
  <c r="E952" i="14"/>
  <c r="E953" i="14"/>
  <c r="E954" i="14"/>
  <c r="E955" i="14"/>
  <c r="E956" i="14"/>
  <c r="E957" i="14"/>
  <c r="E958" i="14"/>
  <c r="E959" i="14"/>
  <c r="E960" i="14"/>
  <c r="E961" i="14"/>
  <c r="E962" i="14"/>
  <c r="E963" i="14"/>
  <c r="E964" i="14"/>
  <c r="E965" i="14"/>
  <c r="E966" i="14"/>
  <c r="E967" i="14"/>
  <c r="E968" i="14"/>
  <c r="E969" i="14"/>
  <c r="E970" i="14"/>
  <c r="E971" i="14"/>
  <c r="E972" i="14"/>
  <c r="E973" i="14"/>
  <c r="E974" i="14"/>
  <c r="E975" i="14"/>
  <c r="E976" i="14"/>
  <c r="E977" i="14"/>
  <c r="E978" i="14"/>
  <c r="E979" i="14"/>
  <c r="E980" i="14"/>
  <c r="E981" i="14"/>
  <c r="E982" i="14"/>
  <c r="E983" i="14"/>
  <c r="E984" i="14"/>
  <c r="E985" i="14"/>
  <c r="E986" i="14"/>
  <c r="E987" i="14"/>
  <c r="E988" i="14"/>
  <c r="E989" i="14"/>
  <c r="E990" i="14"/>
  <c r="E991" i="14"/>
  <c r="E992" i="14"/>
  <c r="E993" i="14"/>
  <c r="E994" i="14"/>
  <c r="E995" i="14"/>
  <c r="E996" i="14"/>
  <c r="E997" i="14"/>
  <c r="E998" i="14"/>
  <c r="E999" i="14"/>
  <c r="E1000" i="14"/>
  <c r="E1001" i="14"/>
  <c r="E1002" i="14"/>
  <c r="E1003" i="14"/>
  <c r="E1004" i="14"/>
  <c r="E1005" i="14"/>
  <c r="E1006" i="14"/>
  <c r="E1007" i="14"/>
  <c r="E1008" i="14"/>
  <c r="E1009" i="14"/>
  <c r="E1010" i="14"/>
  <c r="E1011" i="14"/>
  <c r="E1012" i="14"/>
  <c r="E1013" i="14"/>
  <c r="F12" i="15"/>
  <c r="D34" i="15"/>
  <c r="D30" i="15"/>
  <c r="C28" i="2"/>
  <c r="B13" i="14"/>
  <c r="C13" i="14"/>
  <c r="B14" i="14"/>
  <c r="C14" i="14"/>
  <c r="E4" i="15"/>
  <c r="E7" i="15"/>
  <c r="D65" i="15"/>
  <c r="D63" i="15"/>
  <c r="D49" i="15"/>
  <c r="D40" i="15"/>
  <c r="D28" i="15"/>
  <c r="D26" i="15"/>
  <c r="D24" i="15"/>
  <c r="D60" i="15"/>
  <c r="D44" i="15"/>
  <c r="D23" i="15"/>
  <c r="D19" i="15"/>
  <c r="D64" i="15"/>
  <c r="D54" i="15"/>
  <c r="D48" i="15"/>
  <c r="D39" i="15"/>
  <c r="D27" i="15"/>
  <c r="D66" i="15"/>
  <c r="D58" i="15"/>
  <c r="D50" i="15"/>
  <c r="D38" i="15"/>
  <c r="D29" i="15"/>
  <c r="J46" i="4"/>
  <c r="M49" i="4" s="1"/>
  <c r="B15" i="14"/>
  <c r="C15" i="14"/>
  <c r="D15" i="14"/>
  <c r="A16" i="14"/>
  <c r="D67" i="15"/>
  <c r="E10" i="15"/>
  <c r="E13" i="15"/>
  <c r="B16" i="14"/>
  <c r="C16" i="14"/>
  <c r="A17" i="14"/>
  <c r="D16" i="14"/>
  <c r="B17" i="14"/>
  <c r="C17" i="14"/>
  <c r="D17" i="14"/>
  <c r="A18" i="14"/>
  <c r="A19" i="14"/>
  <c r="D18" i="14"/>
  <c r="B18" i="14"/>
  <c r="C18" i="14"/>
  <c r="D19" i="14"/>
  <c r="A20" i="14"/>
  <c r="B19" i="14"/>
  <c r="C19" i="14"/>
  <c r="D20" i="14"/>
  <c r="A21" i="14"/>
  <c r="B20" i="14"/>
  <c r="C20" i="14"/>
  <c r="A22" i="14"/>
  <c r="D21" i="14"/>
  <c r="B21" i="14"/>
  <c r="C21" i="14"/>
  <c r="B22" i="14"/>
  <c r="C22" i="14"/>
  <c r="D22" i="14"/>
  <c r="A23" i="14"/>
  <c r="D23" i="14"/>
  <c r="A24" i="14"/>
  <c r="B23" i="14"/>
  <c r="C23" i="14"/>
  <c r="D24" i="14"/>
  <c r="A25" i="14"/>
  <c r="B24" i="14"/>
  <c r="C24" i="14"/>
  <c r="D25" i="14"/>
  <c r="A26" i="14"/>
  <c r="B25" i="14"/>
  <c r="C25" i="14"/>
  <c r="D26" i="14"/>
  <c r="A27" i="14"/>
  <c r="B26" i="14"/>
  <c r="C26" i="14"/>
  <c r="B27" i="14"/>
  <c r="C27" i="14"/>
  <c r="A28" i="14"/>
  <c r="D27" i="14"/>
  <c r="D28" i="14"/>
  <c r="B28" i="14"/>
  <c r="C28" i="14"/>
  <c r="A29" i="14"/>
  <c r="D29" i="14"/>
  <c r="B29" i="14"/>
  <c r="C29" i="14"/>
  <c r="A30" i="14"/>
  <c r="B30" i="14"/>
  <c r="C30" i="14"/>
  <c r="A31" i="14"/>
  <c r="D30" i="14"/>
  <c r="D31" i="14"/>
  <c r="B31" i="14"/>
  <c r="C31" i="14"/>
  <c r="A32" i="14"/>
  <c r="D32" i="14"/>
  <c r="A33" i="14"/>
  <c r="B32" i="14"/>
  <c r="C32" i="14"/>
  <c r="A34" i="14"/>
  <c r="D33" i="14"/>
  <c r="B33" i="14"/>
  <c r="C33" i="14"/>
  <c r="B34" i="14"/>
  <c r="C34" i="14"/>
  <c r="A35" i="14"/>
  <c r="D34" i="14"/>
  <c r="D35" i="14"/>
  <c r="B35" i="14"/>
  <c r="C35" i="14"/>
  <c r="A36" i="14"/>
  <c r="D36" i="14"/>
  <c r="B36" i="14"/>
  <c r="C36" i="14"/>
  <c r="A37" i="14"/>
  <c r="B37" i="14"/>
  <c r="C37" i="14"/>
  <c r="A38" i="14"/>
  <c r="D37" i="14"/>
  <c r="D38" i="14"/>
  <c r="A39" i="14"/>
  <c r="B38" i="14"/>
  <c r="C38" i="14"/>
  <c r="A40" i="14"/>
  <c r="B39" i="14"/>
  <c r="C39" i="14"/>
  <c r="D39" i="14"/>
  <c r="A41" i="14"/>
  <c r="D40" i="14"/>
  <c r="B40" i="14"/>
  <c r="C40" i="14"/>
  <c r="A42" i="14"/>
  <c r="D41" i="14"/>
  <c r="B41" i="14"/>
  <c r="C41" i="14"/>
  <c r="A43" i="14"/>
  <c r="D42" i="14"/>
  <c r="B42" i="14"/>
  <c r="C42" i="14"/>
  <c r="D43" i="14"/>
  <c r="B43" i="14"/>
  <c r="C43" i="14"/>
  <c r="A44" i="14"/>
  <c r="D44" i="14"/>
  <c r="B44" i="14"/>
  <c r="C44" i="14"/>
  <c r="A45" i="14"/>
  <c r="D45" i="14"/>
  <c r="A46" i="14"/>
  <c r="B45" i="14"/>
  <c r="C45" i="14"/>
  <c r="B46" i="14"/>
  <c r="C46" i="14"/>
  <c r="D46" i="14"/>
  <c r="A47" i="14"/>
  <c r="D47" i="14"/>
  <c r="B47" i="14"/>
  <c r="C47" i="14"/>
  <c r="A48" i="14"/>
  <c r="D48" i="14"/>
  <c r="A49" i="14"/>
  <c r="B48" i="14"/>
  <c r="C48" i="14"/>
  <c r="B49" i="14"/>
  <c r="C49" i="14"/>
  <c r="D49" i="14"/>
  <c r="A50" i="14"/>
  <c r="A51" i="14"/>
  <c r="B50" i="14"/>
  <c r="C50" i="14"/>
  <c r="D50" i="14"/>
  <c r="B51" i="14"/>
  <c r="C51" i="14"/>
  <c r="D51" i="14"/>
  <c r="A52" i="14"/>
  <c r="B52" i="14"/>
  <c r="C52" i="14"/>
  <c r="D52" i="14"/>
  <c r="A53" i="14"/>
  <c r="D53" i="14"/>
  <c r="A54" i="14"/>
  <c r="B53" i="14"/>
  <c r="C53" i="14"/>
  <c r="B54" i="14"/>
  <c r="C54" i="14"/>
  <c r="D54" i="14"/>
  <c r="A55" i="14"/>
  <c r="B55" i="14"/>
  <c r="C55" i="14"/>
  <c r="A56" i="14"/>
  <c r="D55" i="14"/>
  <c r="A57" i="14"/>
  <c r="D56" i="14"/>
  <c r="B56" i="14"/>
  <c r="C56" i="14"/>
  <c r="A58" i="14"/>
  <c r="D57" i="14"/>
  <c r="B57" i="14"/>
  <c r="C57" i="14"/>
  <c r="D58" i="14"/>
  <c r="A59" i="14"/>
  <c r="B58" i="14"/>
  <c r="C58" i="14"/>
  <c r="A60" i="14"/>
  <c r="D59" i="14"/>
  <c r="B59" i="14"/>
  <c r="C59" i="14"/>
  <c r="B60" i="14"/>
  <c r="C60" i="14"/>
  <c r="A61" i="14"/>
  <c r="D60" i="14"/>
  <c r="B61" i="14"/>
  <c r="C61" i="14"/>
  <c r="A62" i="14"/>
  <c r="D61" i="14"/>
  <c r="A63" i="14"/>
  <c r="D62" i="14"/>
  <c r="B62" i="14"/>
  <c r="C62" i="14"/>
  <c r="B63" i="14"/>
  <c r="C63" i="14"/>
  <c r="A64" i="14"/>
  <c r="D63" i="14"/>
  <c r="D64" i="14"/>
  <c r="A65" i="14"/>
  <c r="B64" i="14"/>
  <c r="C64" i="14"/>
  <c r="A66" i="14"/>
  <c r="D65" i="14"/>
  <c r="B65" i="14"/>
  <c r="C65" i="14"/>
  <c r="B66" i="14"/>
  <c r="C66" i="14"/>
  <c r="A67" i="14"/>
  <c r="D66" i="14"/>
  <c r="A68" i="14"/>
  <c r="B67" i="14"/>
  <c r="C67" i="14"/>
  <c r="D67" i="14"/>
  <c r="A69" i="14"/>
  <c r="D68" i="14"/>
  <c r="B68" i="14"/>
  <c r="C68" i="14"/>
  <c r="B69" i="14"/>
  <c r="C69" i="14"/>
  <c r="A70" i="14"/>
  <c r="D69" i="14"/>
  <c r="A71" i="14"/>
  <c r="B70" i="14"/>
  <c r="C70" i="14"/>
  <c r="D70" i="14"/>
  <c r="B71" i="14"/>
  <c r="C71" i="14"/>
  <c r="A72" i="14"/>
  <c r="D71" i="14"/>
  <c r="A73" i="14"/>
  <c r="D72" i="14"/>
  <c r="B72" i="14"/>
  <c r="C72" i="14"/>
  <c r="D73" i="14"/>
  <c r="B73" i="14"/>
  <c r="C73" i="14"/>
  <c r="A74" i="14"/>
  <c r="D74" i="14"/>
  <c r="B74" i="14"/>
  <c r="C74" i="14"/>
  <c r="A75" i="14"/>
  <c r="D75" i="14"/>
  <c r="B75" i="14"/>
  <c r="C75" i="14"/>
  <c r="A76" i="14"/>
  <c r="A77" i="14"/>
  <c r="D76" i="14"/>
  <c r="B76" i="14"/>
  <c r="C76" i="14"/>
  <c r="A78" i="14"/>
  <c r="B77" i="14"/>
  <c r="C77" i="14"/>
  <c r="D77" i="14"/>
  <c r="A79" i="14"/>
  <c r="B78" i="14"/>
  <c r="C78" i="14"/>
  <c r="D78" i="14"/>
  <c r="A80" i="14"/>
  <c r="D79" i="14"/>
  <c r="B79" i="14"/>
  <c r="C79" i="14"/>
  <c r="B80" i="14"/>
  <c r="C80" i="14"/>
  <c r="A81" i="14"/>
  <c r="D80" i="14"/>
  <c r="B81" i="14"/>
  <c r="C81" i="14"/>
  <c r="D81" i="14"/>
  <c r="A82" i="14"/>
  <c r="A83" i="14"/>
  <c r="D82" i="14"/>
  <c r="B82" i="14"/>
  <c r="C82" i="14"/>
  <c r="D83" i="14"/>
  <c r="B83" i="14"/>
  <c r="C83" i="14"/>
  <c r="A84" i="14"/>
  <c r="D84" i="14"/>
  <c r="B84" i="14"/>
  <c r="C84" i="14"/>
  <c r="A85" i="14"/>
  <c r="D85" i="14"/>
  <c r="A86" i="14"/>
  <c r="B85" i="14"/>
  <c r="C85" i="14"/>
  <c r="B86" i="14"/>
  <c r="C86" i="14"/>
  <c r="D86" i="14"/>
  <c r="A87" i="14"/>
  <c r="A88" i="14"/>
  <c r="D87" i="14"/>
  <c r="B87" i="14"/>
  <c r="C87" i="14"/>
  <c r="D88" i="14"/>
  <c r="B88" i="14"/>
  <c r="C88" i="14"/>
  <c r="A89" i="14"/>
  <c r="B89" i="14"/>
  <c r="C89" i="14"/>
  <c r="D89" i="14"/>
  <c r="A90" i="14"/>
  <c r="D90" i="14"/>
  <c r="A91" i="14"/>
  <c r="B90" i="14"/>
  <c r="C90" i="14"/>
  <c r="B91" i="14"/>
  <c r="C91" i="14"/>
  <c r="D91" i="14"/>
  <c r="A92" i="14"/>
  <c r="B92" i="14"/>
  <c r="C92" i="14"/>
  <c r="D92" i="14"/>
  <c r="A93" i="14"/>
  <c r="D93" i="14"/>
  <c r="A94" i="14"/>
  <c r="B93" i="14"/>
  <c r="C93" i="14"/>
  <c r="B94" i="14"/>
  <c r="C94" i="14"/>
  <c r="D94" i="14"/>
  <c r="A95" i="14"/>
  <c r="B95" i="14"/>
  <c r="C95" i="14"/>
  <c r="A96" i="14"/>
  <c r="D95" i="14"/>
  <c r="A97" i="14"/>
  <c r="D96" i="14"/>
  <c r="B96" i="14"/>
  <c r="C96" i="14"/>
  <c r="D97" i="14"/>
  <c r="A98" i="14"/>
  <c r="B97" i="14"/>
  <c r="C97" i="14"/>
  <c r="D98" i="14"/>
  <c r="A99" i="14"/>
  <c r="B98" i="14"/>
  <c r="C98" i="14"/>
  <c r="A100" i="14"/>
  <c r="D99" i="14"/>
  <c r="B99" i="14"/>
  <c r="C99" i="14"/>
  <c r="A101" i="14"/>
  <c r="D100" i="14"/>
  <c r="B100" i="14"/>
  <c r="C100" i="14"/>
  <c r="B101" i="14"/>
  <c r="C101" i="14"/>
  <c r="D101" i="14"/>
  <c r="A102" i="14"/>
  <c r="B102" i="14"/>
  <c r="C102" i="14"/>
  <c r="A103" i="14"/>
  <c r="D102" i="14"/>
  <c r="D103" i="14"/>
  <c r="A104" i="14"/>
  <c r="B103" i="14"/>
  <c r="C103" i="14"/>
  <c r="D104" i="14"/>
  <c r="A105" i="14"/>
  <c r="B104" i="14"/>
  <c r="C104" i="14"/>
  <c r="A106" i="14"/>
  <c r="B105" i="14"/>
  <c r="C105" i="14"/>
  <c r="D105" i="14"/>
  <c r="A107" i="14"/>
  <c r="D106" i="14"/>
  <c r="B106" i="14"/>
  <c r="C106" i="14"/>
  <c r="B107" i="14"/>
  <c r="C107" i="14"/>
  <c r="A108" i="14"/>
  <c r="D107" i="14"/>
  <c r="A109" i="14"/>
  <c r="B108" i="14"/>
  <c r="C108" i="14"/>
  <c r="D108" i="14"/>
  <c r="A110" i="14"/>
  <c r="B109" i="14"/>
  <c r="C109" i="14"/>
  <c r="D109" i="14"/>
  <c r="B110" i="14"/>
  <c r="C110" i="14"/>
  <c r="D110" i="14"/>
  <c r="A111" i="14"/>
  <c r="A112" i="14"/>
  <c r="D111" i="14"/>
  <c r="B111" i="14"/>
  <c r="C111" i="14"/>
  <c r="A113" i="14"/>
  <c r="D112" i="14"/>
  <c r="B112" i="14"/>
  <c r="C112" i="14"/>
  <c r="A114" i="14"/>
  <c r="B113" i="14"/>
  <c r="C113" i="14"/>
  <c r="D113" i="14"/>
  <c r="D114" i="14"/>
  <c r="A115" i="14"/>
  <c r="B114" i="14"/>
  <c r="C114" i="14"/>
  <c r="D115" i="14"/>
  <c r="B115" i="14"/>
  <c r="C115" i="14"/>
  <c r="A116" i="14"/>
  <c r="B116" i="14"/>
  <c r="C116" i="14"/>
  <c r="A117" i="14"/>
  <c r="D116" i="14"/>
  <c r="A118" i="14"/>
  <c r="D117" i="14"/>
  <c r="B117" i="14"/>
  <c r="C117" i="14"/>
  <c r="A119" i="14"/>
  <c r="D118" i="14"/>
  <c r="B118" i="14"/>
  <c r="C118" i="14"/>
  <c r="B119" i="14"/>
  <c r="C119" i="14"/>
  <c r="D119" i="14"/>
  <c r="A120" i="14"/>
  <c r="B120" i="14"/>
  <c r="C120" i="14"/>
  <c r="D120" i="14"/>
  <c r="A121" i="14"/>
  <c r="B121" i="14"/>
  <c r="C121" i="14"/>
  <c r="A122" i="14"/>
  <c r="D121" i="14"/>
  <c r="D122" i="14"/>
  <c r="B122" i="14"/>
  <c r="C122" i="14"/>
  <c r="A123" i="14"/>
  <c r="A124" i="14"/>
  <c r="B123" i="14"/>
  <c r="C123" i="14"/>
  <c r="D123" i="14"/>
  <c r="A125" i="14"/>
  <c r="B124" i="14"/>
  <c r="C124" i="14"/>
  <c r="D124" i="14"/>
  <c r="A126" i="14"/>
  <c r="B125" i="14"/>
  <c r="C125" i="14"/>
  <c r="D125" i="14"/>
  <c r="D126" i="14"/>
  <c r="B126" i="14"/>
  <c r="C126" i="14"/>
  <c r="A127" i="14"/>
  <c r="A128" i="14"/>
  <c r="B127" i="14"/>
  <c r="C127" i="14"/>
  <c r="D127" i="14"/>
  <c r="D128" i="14"/>
  <c r="B128" i="14"/>
  <c r="C128" i="14"/>
  <c r="A129" i="14"/>
  <c r="A130" i="14"/>
  <c r="B129" i="14"/>
  <c r="C129" i="14"/>
  <c r="D129" i="14"/>
  <c r="B130" i="14"/>
  <c r="C130" i="14"/>
  <c r="A131" i="14"/>
  <c r="D130" i="14"/>
  <c r="D131" i="14"/>
  <c r="A132" i="14"/>
  <c r="B131" i="14"/>
  <c r="C131" i="14"/>
  <c r="B132" i="14"/>
  <c r="C132" i="14"/>
  <c r="D132" i="14"/>
  <c r="A133" i="14"/>
  <c r="D133" i="14"/>
  <c r="B133" i="14"/>
  <c r="C133" i="14"/>
  <c r="A134" i="14"/>
  <c r="A135" i="14"/>
  <c r="D134" i="14"/>
  <c r="B134" i="14"/>
  <c r="C134" i="14"/>
  <c r="A136" i="14"/>
  <c r="B135" i="14"/>
  <c r="C135" i="14"/>
  <c r="D135" i="14"/>
  <c r="A137" i="14"/>
  <c r="B136" i="14"/>
  <c r="C136" i="14"/>
  <c r="D136" i="14"/>
  <c r="A138" i="14"/>
  <c r="D137" i="14"/>
  <c r="B137" i="14"/>
  <c r="C137" i="14"/>
  <c r="B138" i="14"/>
  <c r="C138" i="14"/>
  <c r="D138" i="14"/>
  <c r="A139" i="14"/>
  <c r="B139" i="14"/>
  <c r="C139" i="14"/>
  <c r="A140" i="14"/>
  <c r="D139" i="14"/>
  <c r="D140" i="14"/>
  <c r="B140" i="14"/>
  <c r="C140" i="14"/>
  <c r="A141" i="14"/>
  <c r="B141" i="14"/>
  <c r="C141" i="14"/>
  <c r="D141" i="14"/>
  <c r="A142" i="14"/>
  <c r="B142" i="14"/>
  <c r="C142" i="14"/>
  <c r="D142" i="14"/>
  <c r="A143" i="14"/>
  <c r="A144" i="14"/>
  <c r="B143" i="14"/>
  <c r="C143" i="14"/>
  <c r="D143" i="14"/>
  <c r="B144" i="14"/>
  <c r="C144" i="14"/>
  <c r="D144" i="14"/>
  <c r="A145" i="14"/>
  <c r="A146" i="14"/>
  <c r="B145" i="14"/>
  <c r="C145" i="14"/>
  <c r="D145" i="14"/>
  <c r="D146" i="14"/>
  <c r="B146" i="14"/>
  <c r="C146" i="14"/>
  <c r="A147" i="14"/>
  <c r="B147" i="14"/>
  <c r="C147" i="14"/>
  <c r="D147" i="14"/>
  <c r="A148" i="14"/>
  <c r="A149" i="14"/>
  <c r="B148" i="14"/>
  <c r="C148" i="14"/>
  <c r="D148" i="14"/>
  <c r="D149" i="14"/>
  <c r="A150" i="14"/>
  <c r="B149" i="14"/>
  <c r="C149" i="14"/>
  <c r="D150" i="14"/>
  <c r="B150" i="14"/>
  <c r="C150" i="14"/>
  <c r="A151" i="14"/>
  <c r="D151" i="14"/>
  <c r="A152" i="14"/>
  <c r="B151" i="14"/>
  <c r="C151" i="14"/>
  <c r="A153" i="14"/>
  <c r="B152" i="14"/>
  <c r="C152" i="14"/>
  <c r="D152" i="14"/>
  <c r="B153" i="14"/>
  <c r="C153" i="14"/>
  <c r="D153" i="14"/>
  <c r="A154" i="14"/>
  <c r="A155" i="14"/>
  <c r="B154" i="14"/>
  <c r="C154" i="14"/>
  <c r="D154" i="14"/>
  <c r="D155" i="14"/>
  <c r="A156" i="14"/>
  <c r="B155" i="14"/>
  <c r="C155" i="14"/>
  <c r="B156" i="14"/>
  <c r="C156" i="14"/>
  <c r="D156" i="14"/>
  <c r="A157" i="14"/>
  <c r="B157" i="14"/>
  <c r="C157" i="14"/>
  <c r="D157" i="14"/>
  <c r="A158" i="14"/>
  <c r="B158" i="14"/>
  <c r="C158" i="14"/>
  <c r="A159" i="14"/>
  <c r="D158" i="14"/>
  <c r="B159" i="14"/>
  <c r="C159" i="14"/>
  <c r="A160" i="14"/>
  <c r="D159" i="14"/>
  <c r="D160" i="14"/>
  <c r="A161" i="14"/>
  <c r="B160" i="14"/>
  <c r="C160" i="14"/>
  <c r="D161" i="14"/>
  <c r="B161" i="14"/>
  <c r="C161" i="14"/>
  <c r="A162" i="14"/>
  <c r="B162" i="14"/>
  <c r="C162" i="14"/>
  <c r="A163" i="14"/>
  <c r="D162" i="14"/>
  <c r="A164" i="14"/>
  <c r="B163" i="14"/>
  <c r="C163" i="14"/>
  <c r="D163" i="14"/>
  <c r="D164" i="14"/>
  <c r="A165" i="14"/>
  <c r="B164" i="14"/>
  <c r="C164" i="14"/>
  <c r="B165" i="14"/>
  <c r="C165" i="14"/>
  <c r="A166" i="14"/>
  <c r="D165" i="14"/>
  <c r="D166" i="14"/>
  <c r="B166" i="14"/>
  <c r="C166" i="14"/>
  <c r="A167" i="14"/>
  <c r="A168" i="14"/>
  <c r="B167" i="14"/>
  <c r="C167" i="14"/>
  <c r="D167" i="14"/>
  <c r="A169" i="14"/>
  <c r="B168" i="14"/>
  <c r="C168" i="14"/>
  <c r="D168" i="14"/>
  <c r="D169" i="14"/>
  <c r="A170" i="14"/>
  <c r="B169" i="14"/>
  <c r="C169" i="14"/>
  <c r="D170" i="14"/>
  <c r="B170" i="14"/>
  <c r="C170" i="14"/>
  <c r="A171" i="14"/>
  <c r="A172" i="14"/>
  <c r="B171" i="14"/>
  <c r="C171" i="14"/>
  <c r="D171" i="14"/>
  <c r="A173" i="14"/>
  <c r="B172" i="14"/>
  <c r="C172" i="14"/>
  <c r="D172" i="14"/>
  <c r="D173" i="14"/>
  <c r="A174" i="14"/>
  <c r="B173" i="14"/>
  <c r="C173" i="14"/>
  <c r="B174" i="14"/>
  <c r="C174" i="14"/>
  <c r="D174" i="14"/>
  <c r="A175" i="14"/>
  <c r="A176" i="14"/>
  <c r="B175" i="14"/>
  <c r="C175" i="14"/>
  <c r="D175" i="14"/>
  <c r="A177" i="14"/>
  <c r="B176" i="14"/>
  <c r="C176" i="14"/>
  <c r="D176" i="14"/>
  <c r="B177" i="14"/>
  <c r="C177" i="14"/>
  <c r="D177" i="14"/>
  <c r="A178" i="14"/>
  <c r="A179" i="14"/>
  <c r="D178" i="14"/>
  <c r="B178" i="14"/>
  <c r="C178" i="14"/>
  <c r="A180" i="14"/>
  <c r="B179" i="14"/>
  <c r="C179" i="14"/>
  <c r="D179" i="14"/>
  <c r="A181" i="14"/>
  <c r="B180" i="14"/>
  <c r="C180" i="14"/>
  <c r="D180" i="14"/>
  <c r="A182" i="14"/>
  <c r="B181" i="14"/>
  <c r="C181" i="14"/>
  <c r="D181" i="14"/>
  <c r="B182" i="14"/>
  <c r="C182" i="14"/>
  <c r="A183" i="14"/>
  <c r="D182" i="14"/>
  <c r="B183" i="14"/>
  <c r="C183" i="14"/>
  <c r="A184" i="14"/>
  <c r="D183" i="14"/>
  <c r="B184" i="14"/>
  <c r="C184" i="14"/>
  <c r="D184" i="14"/>
  <c r="A185" i="14"/>
  <c r="D185" i="14"/>
  <c r="A186" i="14"/>
  <c r="B185" i="14"/>
  <c r="C185" i="14"/>
  <c r="A187" i="14"/>
  <c r="D186" i="14"/>
  <c r="B186" i="14"/>
  <c r="C186" i="14"/>
  <c r="D187" i="14"/>
  <c r="A188" i="14"/>
  <c r="B187" i="14"/>
  <c r="C187" i="14"/>
  <c r="D188" i="14"/>
  <c r="B188" i="14"/>
  <c r="C188" i="14"/>
  <c r="A189" i="14"/>
  <c r="A190" i="14"/>
  <c r="B189" i="14"/>
  <c r="C189" i="14"/>
  <c r="D189" i="14"/>
  <c r="B190" i="14"/>
  <c r="C190" i="14"/>
  <c r="A191" i="14"/>
  <c r="D190" i="14"/>
  <c r="B191" i="14"/>
  <c r="C191" i="14"/>
  <c r="D191" i="14"/>
  <c r="A192" i="14"/>
  <c r="B192" i="14"/>
  <c r="C192" i="14"/>
  <c r="A193" i="14"/>
  <c r="D192" i="14"/>
  <c r="A194" i="14"/>
  <c r="B193" i="14"/>
  <c r="C193" i="14"/>
  <c r="D193" i="14"/>
  <c r="A195" i="14"/>
  <c r="D194" i="14"/>
  <c r="B194" i="14"/>
  <c r="C194" i="14"/>
  <c r="B195" i="14"/>
  <c r="C195" i="14"/>
  <c r="A196" i="14"/>
  <c r="D195" i="14"/>
  <c r="A197" i="14"/>
  <c r="B196" i="14"/>
  <c r="C196" i="14"/>
  <c r="D196" i="14"/>
  <c r="A198" i="14"/>
  <c r="D197" i="14"/>
  <c r="B197" i="14"/>
  <c r="C197" i="14"/>
  <c r="D198" i="14"/>
  <c r="B198" i="14"/>
  <c r="C198" i="14"/>
  <c r="A199" i="14"/>
  <c r="A200" i="14"/>
  <c r="D199" i="14"/>
  <c r="B199" i="14"/>
  <c r="C199" i="14"/>
  <c r="A201" i="14"/>
  <c r="D200" i="14"/>
  <c r="B200" i="14"/>
  <c r="C200" i="14"/>
  <c r="B201" i="14"/>
  <c r="C201" i="14"/>
  <c r="D201" i="14"/>
  <c r="A202" i="14"/>
  <c r="A203" i="14"/>
  <c r="B202" i="14"/>
  <c r="C202" i="14"/>
  <c r="D202" i="14"/>
  <c r="A204" i="14"/>
  <c r="B203" i="14"/>
  <c r="C203" i="14"/>
  <c r="D203" i="14"/>
  <c r="B204" i="14"/>
  <c r="C204" i="14"/>
  <c r="A205" i="14"/>
  <c r="D204" i="14"/>
  <c r="A206" i="14"/>
  <c r="B205" i="14"/>
  <c r="C205" i="14"/>
  <c r="D205" i="14"/>
  <c r="A207" i="14"/>
  <c r="D206" i="14"/>
  <c r="B206" i="14"/>
  <c r="C206" i="14"/>
  <c r="B207" i="14"/>
  <c r="C207" i="14"/>
  <c r="A208" i="14"/>
  <c r="D207" i="14"/>
  <c r="A209" i="14"/>
  <c r="D208" i="14"/>
  <c r="B208" i="14"/>
  <c r="C208" i="14"/>
  <c r="A210" i="14"/>
  <c r="D209" i="14"/>
  <c r="B209" i="14"/>
  <c r="C209" i="14"/>
  <c r="B210" i="14"/>
  <c r="C210" i="14"/>
  <c r="D210" i="14"/>
  <c r="A211" i="14"/>
  <c r="A212" i="14"/>
  <c r="D211" i="14"/>
  <c r="B211" i="14"/>
  <c r="C211" i="14"/>
  <c r="B212" i="14"/>
  <c r="C212" i="14"/>
  <c r="A213" i="14"/>
  <c r="D212" i="14"/>
  <c r="A214" i="14"/>
  <c r="B213" i="14"/>
  <c r="C213" i="14"/>
  <c r="D213" i="14"/>
  <c r="B214" i="14"/>
  <c r="C214" i="14"/>
  <c r="D214" i="14"/>
  <c r="A215" i="14"/>
  <c r="A216" i="14"/>
  <c r="D215" i="14"/>
  <c r="B215" i="14"/>
  <c r="C215" i="14"/>
  <c r="B216" i="14"/>
  <c r="C216" i="14"/>
  <c r="D216" i="14"/>
  <c r="A217" i="14"/>
  <c r="A218" i="14"/>
  <c r="B217" i="14"/>
  <c r="C217" i="14"/>
  <c r="D217" i="14"/>
  <c r="A219" i="14"/>
  <c r="B218" i="14"/>
  <c r="C218" i="14"/>
  <c r="D218" i="14"/>
  <c r="B219" i="14"/>
  <c r="C219" i="14"/>
  <c r="A220" i="14"/>
  <c r="D219" i="14"/>
  <c r="D220" i="14"/>
  <c r="A221" i="14"/>
  <c r="B220" i="14"/>
  <c r="C220" i="14"/>
  <c r="B221" i="14"/>
  <c r="C221" i="14"/>
  <c r="D221" i="14"/>
  <c r="A222" i="14"/>
  <c r="A223" i="14"/>
  <c r="B222" i="14"/>
  <c r="C222" i="14"/>
  <c r="D222" i="14"/>
  <c r="B223" i="14"/>
  <c r="C223" i="14"/>
  <c r="A224" i="14"/>
  <c r="D223" i="14"/>
  <c r="B224" i="14"/>
  <c r="C224" i="14"/>
  <c r="A225" i="14"/>
  <c r="D224" i="14"/>
  <c r="A226" i="14"/>
  <c r="B225" i="14"/>
  <c r="C225" i="14"/>
  <c r="D225" i="14"/>
  <c r="D226" i="14"/>
  <c r="A227" i="14"/>
  <c r="B226" i="14"/>
  <c r="C226" i="14"/>
  <c r="D227" i="14"/>
  <c r="B227" i="14"/>
  <c r="C227" i="14"/>
  <c r="A228" i="14"/>
  <c r="A229" i="14"/>
  <c r="D228" i="14"/>
  <c r="B228" i="14"/>
  <c r="C228" i="14"/>
  <c r="D229" i="14"/>
  <c r="A230" i="14"/>
  <c r="B229" i="14"/>
  <c r="C229" i="14"/>
  <c r="D230" i="14"/>
  <c r="A231" i="14"/>
  <c r="B230" i="14"/>
  <c r="C230" i="14"/>
  <c r="D231" i="14"/>
  <c r="B231" i="14"/>
  <c r="C231" i="14"/>
  <c r="A232" i="14"/>
  <c r="D232" i="14"/>
  <c r="B232" i="14"/>
  <c r="C232" i="14"/>
  <c r="A233" i="14"/>
  <c r="D233" i="14"/>
  <c r="A234" i="14"/>
  <c r="B233" i="14"/>
  <c r="C233" i="14"/>
  <c r="B234" i="14"/>
  <c r="C234" i="14"/>
  <c r="D234" i="14"/>
  <c r="A235" i="14"/>
  <c r="D235" i="14"/>
  <c r="A236" i="14"/>
  <c r="B235" i="14"/>
  <c r="C235" i="14"/>
  <c r="B236" i="14"/>
  <c r="C236" i="14"/>
  <c r="A237" i="14"/>
  <c r="D236" i="14"/>
  <c r="B237" i="14"/>
  <c r="C237" i="14"/>
  <c r="A238" i="14"/>
  <c r="D237" i="14"/>
  <c r="D238" i="14"/>
  <c r="A239" i="14"/>
  <c r="B238" i="14"/>
  <c r="C238" i="14"/>
  <c r="B239" i="14"/>
  <c r="C239" i="14"/>
  <c r="A240" i="14"/>
  <c r="D239" i="14"/>
  <c r="D240" i="14"/>
  <c r="B240" i="14"/>
  <c r="C240" i="14"/>
  <c r="A241" i="14"/>
  <c r="D241" i="14"/>
  <c r="B241" i="14"/>
  <c r="C241" i="14"/>
  <c r="A242" i="14"/>
  <c r="D242" i="14"/>
  <c r="A243" i="14"/>
  <c r="B242" i="14"/>
  <c r="C242" i="14"/>
  <c r="D243" i="14"/>
  <c r="B243" i="14"/>
  <c r="C243" i="14"/>
  <c r="A244" i="14"/>
  <c r="D244" i="14"/>
  <c r="A245" i="14"/>
  <c r="B244" i="14"/>
  <c r="C244" i="14"/>
  <c r="D245" i="14"/>
  <c r="A246" i="14"/>
  <c r="B245" i="14"/>
  <c r="C245" i="14"/>
  <c r="B246" i="14"/>
  <c r="C246" i="14"/>
  <c r="A247" i="14"/>
  <c r="D246" i="14"/>
  <c r="A248" i="14"/>
  <c r="D247" i="14"/>
  <c r="B247" i="14"/>
  <c r="C247" i="14"/>
  <c r="B248" i="14"/>
  <c r="C248" i="14"/>
  <c r="A249" i="14"/>
  <c r="D248" i="14"/>
  <c r="B249" i="14"/>
  <c r="C249" i="14"/>
  <c r="A250" i="14"/>
  <c r="D249" i="14"/>
  <c r="D250" i="14"/>
  <c r="B250" i="14"/>
  <c r="C250" i="14"/>
  <c r="A251" i="14"/>
  <c r="A252" i="14"/>
  <c r="D251" i="14"/>
  <c r="B251" i="14"/>
  <c r="C251" i="14"/>
  <c r="D252" i="14"/>
  <c r="B252" i="14"/>
  <c r="C252" i="14"/>
  <c r="A253" i="14"/>
  <c r="D253" i="14"/>
  <c r="B253" i="14"/>
  <c r="C253" i="14"/>
  <c r="A254" i="14"/>
  <c r="D254" i="14"/>
  <c r="B254" i="14"/>
  <c r="C254" i="14"/>
  <c r="A255" i="14"/>
  <c r="D255" i="14"/>
  <c r="B255" i="14"/>
  <c r="C255" i="14"/>
  <c r="A256" i="14"/>
  <c r="A257" i="14"/>
  <c r="D256" i="14"/>
  <c r="B256" i="14"/>
  <c r="C256" i="14"/>
  <c r="D257" i="14"/>
  <c r="A258" i="14"/>
  <c r="B257" i="14"/>
  <c r="C257" i="14"/>
  <c r="B258" i="14"/>
  <c r="C258" i="14"/>
  <c r="A259" i="14"/>
  <c r="D258" i="14"/>
  <c r="D259" i="14"/>
  <c r="B259" i="14"/>
  <c r="C259" i="14"/>
  <c r="A260" i="14"/>
  <c r="A261" i="14"/>
  <c r="D260" i="14"/>
  <c r="B260" i="14"/>
  <c r="C260" i="14"/>
  <c r="B261" i="14"/>
  <c r="C261" i="14"/>
  <c r="A262" i="14"/>
  <c r="D261" i="14"/>
  <c r="D262" i="14"/>
  <c r="B262" i="14"/>
  <c r="C262" i="14"/>
  <c r="A263" i="14"/>
  <c r="B263" i="14"/>
  <c r="C263" i="14"/>
  <c r="A264" i="14"/>
  <c r="D263" i="14"/>
  <c r="D264" i="14"/>
  <c r="B264" i="14"/>
  <c r="C264" i="14"/>
  <c r="A265" i="14"/>
  <c r="D265" i="14"/>
  <c r="A266" i="14"/>
  <c r="B265" i="14"/>
  <c r="C265" i="14"/>
  <c r="D266" i="14"/>
  <c r="A267" i="14"/>
  <c r="B266" i="14"/>
  <c r="C266" i="14"/>
  <c r="D267" i="14"/>
  <c r="B267" i="14"/>
  <c r="C267" i="14"/>
  <c r="A268" i="14"/>
  <c r="D268" i="14"/>
  <c r="B268" i="14"/>
  <c r="C268" i="14"/>
  <c r="A269" i="14"/>
  <c r="D269" i="14"/>
  <c r="B269" i="14"/>
  <c r="C269" i="14"/>
  <c r="A270" i="14"/>
  <c r="D270" i="14"/>
  <c r="B270" i="14"/>
  <c r="C270" i="14"/>
  <c r="A271" i="14"/>
  <c r="D271" i="14"/>
  <c r="A272" i="14"/>
  <c r="B271" i="14"/>
  <c r="C271" i="14"/>
  <c r="B272" i="14"/>
  <c r="C272" i="14"/>
  <c r="A273" i="14"/>
  <c r="D272" i="14"/>
  <c r="A274" i="14"/>
  <c r="B273" i="14"/>
  <c r="C273" i="14"/>
  <c r="D273" i="14"/>
  <c r="A275" i="14"/>
  <c r="D274" i="14"/>
  <c r="B274" i="14"/>
  <c r="C274" i="14"/>
  <c r="B275" i="14"/>
  <c r="C275" i="14"/>
  <c r="A276" i="14"/>
  <c r="D275" i="14"/>
  <c r="D276" i="14"/>
  <c r="B276" i="14"/>
  <c r="C276" i="14"/>
  <c r="A277" i="14"/>
  <c r="D277" i="14"/>
  <c r="A278" i="14"/>
  <c r="B277" i="14"/>
  <c r="C277" i="14"/>
  <c r="A279" i="14"/>
  <c r="D278" i="14"/>
  <c r="B278" i="14"/>
  <c r="C278" i="14"/>
  <c r="D279" i="14"/>
  <c r="B279" i="14"/>
  <c r="C279" i="14"/>
  <c r="A280" i="14"/>
  <c r="D280" i="14"/>
  <c r="B280" i="14"/>
  <c r="C280" i="14"/>
  <c r="A281" i="14"/>
  <c r="D281" i="14"/>
  <c r="A282" i="14"/>
  <c r="B281" i="14"/>
  <c r="C281" i="14"/>
  <c r="D282" i="14"/>
  <c r="B282" i="14"/>
  <c r="C282" i="14"/>
  <c r="A283" i="14"/>
  <c r="A284" i="14"/>
  <c r="D283" i="14"/>
  <c r="B283" i="14"/>
  <c r="C283" i="14"/>
  <c r="B284" i="14"/>
  <c r="C284" i="14"/>
  <c r="A285" i="14"/>
  <c r="D284" i="14"/>
  <c r="A286" i="14"/>
  <c r="B285" i="14"/>
  <c r="C285" i="14"/>
  <c r="D285" i="14"/>
  <c r="D286" i="14"/>
  <c r="B286" i="14"/>
  <c r="C286" i="14"/>
  <c r="A287" i="14"/>
  <c r="A288" i="14"/>
  <c r="D287" i="14"/>
  <c r="B287" i="14"/>
  <c r="C287" i="14"/>
  <c r="D288" i="14"/>
  <c r="B288" i="14"/>
  <c r="C288" i="14"/>
  <c r="A289" i="14"/>
  <c r="D289" i="14"/>
  <c r="B289" i="14"/>
  <c r="C289" i="14"/>
  <c r="A290" i="14"/>
  <c r="B290" i="14"/>
  <c r="C290" i="14"/>
  <c r="A291" i="14"/>
  <c r="D290" i="14"/>
  <c r="D291" i="14"/>
  <c r="A292" i="14"/>
  <c r="B291" i="14"/>
  <c r="C291" i="14"/>
  <c r="A293" i="14"/>
  <c r="D292" i="14"/>
  <c r="B292" i="14"/>
  <c r="C292" i="14"/>
  <c r="D293" i="14"/>
  <c r="A294" i="14"/>
  <c r="B293" i="14"/>
  <c r="C293" i="14"/>
  <c r="B294" i="14"/>
  <c r="C294" i="14"/>
  <c r="A295" i="14"/>
  <c r="D294" i="14"/>
  <c r="A296" i="14"/>
  <c r="D295" i="14"/>
  <c r="B295" i="14"/>
  <c r="C295" i="14"/>
  <c r="A297" i="14"/>
  <c r="D296" i="14"/>
  <c r="B296" i="14"/>
  <c r="C296" i="14"/>
  <c r="B297" i="14"/>
  <c r="C297" i="14"/>
  <c r="A298" i="14"/>
  <c r="D297" i="14"/>
  <c r="A299" i="14"/>
  <c r="D298" i="14"/>
  <c r="B298" i="14"/>
  <c r="C298" i="14"/>
  <c r="A300" i="14"/>
  <c r="B299" i="14"/>
  <c r="C299" i="14"/>
  <c r="D299" i="14"/>
  <c r="B300" i="14"/>
  <c r="C300" i="14"/>
  <c r="A301" i="14"/>
  <c r="D300" i="14"/>
  <c r="D301" i="14"/>
  <c r="A302" i="14"/>
  <c r="B301" i="14"/>
  <c r="C301" i="14"/>
  <c r="A303" i="14"/>
  <c r="D302" i="14"/>
  <c r="B302" i="14"/>
  <c r="C302" i="14"/>
  <c r="A304" i="14"/>
  <c r="D303" i="14"/>
  <c r="B303" i="14"/>
  <c r="C303" i="14"/>
  <c r="A305" i="14"/>
  <c r="B304" i="14"/>
  <c r="C304" i="14"/>
  <c r="D304" i="14"/>
  <c r="D305" i="14"/>
  <c r="A306" i="14"/>
  <c r="B305" i="14"/>
  <c r="C305" i="14"/>
  <c r="A307" i="14"/>
  <c r="D306" i="14"/>
  <c r="B306" i="14"/>
  <c r="C306" i="14"/>
  <c r="B307" i="14"/>
  <c r="C307" i="14"/>
  <c r="A308" i="14"/>
  <c r="D307" i="14"/>
  <c r="A309" i="14"/>
  <c r="D308" i="14"/>
  <c r="B308" i="14"/>
  <c r="C308" i="14"/>
  <c r="B309" i="14"/>
  <c r="C309" i="14"/>
  <c r="A310" i="14"/>
  <c r="D309" i="14"/>
  <c r="A311" i="14"/>
  <c r="B310" i="14"/>
  <c r="C310" i="14"/>
  <c r="D310" i="14"/>
  <c r="A312" i="14"/>
  <c r="B311" i="14"/>
  <c r="C311" i="14"/>
  <c r="D311" i="14"/>
  <c r="D312" i="14"/>
  <c r="B312" i="14"/>
  <c r="C312" i="14"/>
  <c r="A313" i="14"/>
  <c r="B313" i="14"/>
  <c r="C313" i="14"/>
  <c r="D313" i="14"/>
  <c r="A314" i="14"/>
  <c r="D314" i="14"/>
  <c r="A315" i="14"/>
  <c r="B314" i="14"/>
  <c r="C314" i="14"/>
  <c r="B315" i="14"/>
  <c r="C315" i="14"/>
  <c r="A316" i="14"/>
  <c r="D315" i="14"/>
  <c r="B316" i="14"/>
  <c r="C316" i="14"/>
  <c r="A317" i="14"/>
  <c r="D316" i="14"/>
  <c r="D317" i="14"/>
  <c r="B317" i="14"/>
  <c r="C317" i="14"/>
  <c r="A318" i="14"/>
  <c r="D318" i="14"/>
  <c r="A319" i="14"/>
  <c r="B318" i="14"/>
  <c r="C318" i="14"/>
  <c r="A320" i="14"/>
  <c r="D319" i="14"/>
  <c r="B319" i="14"/>
  <c r="C319" i="14"/>
  <c r="D320" i="14"/>
  <c r="B320" i="14"/>
  <c r="C320" i="14"/>
  <c r="A321" i="14"/>
  <c r="A322" i="14"/>
  <c r="B321" i="14"/>
  <c r="C321" i="14"/>
  <c r="D321" i="14"/>
  <c r="A323" i="14"/>
  <c r="B322" i="14"/>
  <c r="C322" i="14"/>
  <c r="D322" i="14"/>
  <c r="D323" i="14"/>
  <c r="A324" i="14"/>
  <c r="B323" i="14"/>
  <c r="C323" i="14"/>
  <c r="D324" i="14"/>
  <c r="B324" i="14"/>
  <c r="C324" i="14"/>
  <c r="A325" i="14"/>
  <c r="A326" i="14"/>
  <c r="B325" i="14"/>
  <c r="C325" i="14"/>
  <c r="D325" i="14"/>
  <c r="D326" i="14"/>
  <c r="A327" i="14"/>
  <c r="B326" i="14"/>
  <c r="C326" i="14"/>
  <c r="A328" i="14"/>
  <c r="B327" i="14"/>
  <c r="C327" i="14"/>
  <c r="D327" i="14"/>
  <c r="A329" i="14"/>
  <c r="D328" i="14"/>
  <c r="B328" i="14"/>
  <c r="C328" i="14"/>
  <c r="D329" i="14"/>
  <c r="A330" i="14"/>
  <c r="B329" i="14"/>
  <c r="C329" i="14"/>
  <c r="B330" i="14"/>
  <c r="C330" i="14"/>
  <c r="A331" i="14"/>
  <c r="D330" i="14"/>
  <c r="A332" i="14"/>
  <c r="D331" i="14"/>
  <c r="B331" i="14"/>
  <c r="C331" i="14"/>
  <c r="B332" i="14"/>
  <c r="C332" i="14"/>
  <c r="A333" i="14"/>
  <c r="D332" i="14"/>
  <c r="B333" i="14"/>
  <c r="C333" i="14"/>
  <c r="A334" i="14"/>
  <c r="D333" i="14"/>
  <c r="B334" i="14"/>
  <c r="C334" i="14"/>
  <c r="D334" i="14"/>
  <c r="A335" i="14"/>
  <c r="B335" i="14"/>
  <c r="C335" i="14"/>
  <c r="D335" i="14"/>
  <c r="A336" i="14"/>
  <c r="A337" i="14"/>
  <c r="B336" i="14"/>
  <c r="C336" i="14"/>
  <c r="D336" i="14"/>
  <c r="B337" i="14"/>
  <c r="C337" i="14"/>
  <c r="D337" i="14"/>
  <c r="A338" i="14"/>
  <c r="D338" i="14"/>
  <c r="A339" i="14"/>
  <c r="B338" i="14"/>
  <c r="C338" i="14"/>
  <c r="A340" i="14"/>
  <c r="B339" i="14"/>
  <c r="C339" i="14"/>
  <c r="D339" i="14"/>
  <c r="A341" i="14"/>
  <c r="D340" i="14"/>
  <c r="B340" i="14"/>
  <c r="C340" i="14"/>
  <c r="B341" i="14"/>
  <c r="C341" i="14"/>
  <c r="A342" i="14"/>
  <c r="D341" i="14"/>
  <c r="A343" i="14"/>
  <c r="B342" i="14"/>
  <c r="C342" i="14"/>
  <c r="D342" i="14"/>
  <c r="B343" i="14"/>
  <c r="C343" i="14"/>
  <c r="D343" i="14"/>
  <c r="A344" i="14"/>
  <c r="D344" i="14"/>
  <c r="A345" i="14"/>
  <c r="B344" i="14"/>
  <c r="C344" i="14"/>
  <c r="B345" i="14"/>
  <c r="C345" i="14"/>
  <c r="A346" i="14"/>
  <c r="D345" i="14"/>
  <c r="A347" i="14"/>
  <c r="D346" i="14"/>
  <c r="B346" i="14"/>
  <c r="C346" i="14"/>
  <c r="A348" i="14"/>
  <c r="B347" i="14"/>
  <c r="C347" i="14"/>
  <c r="D347" i="14"/>
  <c r="A349" i="14"/>
  <c r="B348" i="14"/>
  <c r="C348" i="14"/>
  <c r="D348" i="14"/>
  <c r="B349" i="14"/>
  <c r="C349" i="14"/>
  <c r="A350" i="14"/>
  <c r="D349" i="14"/>
  <c r="B350" i="14"/>
  <c r="C350" i="14"/>
  <c r="D350" i="14"/>
  <c r="A351" i="14"/>
  <c r="A352" i="14"/>
  <c r="B351" i="14"/>
  <c r="C351" i="14"/>
  <c r="D351" i="14"/>
  <c r="D352" i="14"/>
  <c r="A353" i="14"/>
  <c r="B352" i="14"/>
  <c r="C352" i="14"/>
  <c r="A354" i="14"/>
  <c r="D353" i="14"/>
  <c r="B353" i="14"/>
  <c r="C353" i="14"/>
  <c r="A355" i="14"/>
  <c r="D354" i="14"/>
  <c r="B354" i="14"/>
  <c r="C354" i="14"/>
  <c r="D355" i="14"/>
  <c r="A356" i="14"/>
  <c r="B355" i="14"/>
  <c r="C355" i="14"/>
  <c r="A357" i="14"/>
  <c r="B356" i="14"/>
  <c r="C356" i="14"/>
  <c r="D356" i="14"/>
  <c r="B357" i="14"/>
  <c r="C357" i="14"/>
  <c r="A358" i="14"/>
  <c r="D357" i="14"/>
  <c r="A359" i="14"/>
  <c r="D358" i="14"/>
  <c r="B358" i="14"/>
  <c r="C358" i="14"/>
  <c r="A360" i="14"/>
  <c r="B359" i="14"/>
  <c r="C359" i="14"/>
  <c r="D359" i="14"/>
  <c r="A361" i="14"/>
  <c r="B360" i="14"/>
  <c r="C360" i="14"/>
  <c r="D360" i="14"/>
  <c r="B361" i="14"/>
  <c r="C361" i="14"/>
  <c r="A362" i="14"/>
  <c r="D361" i="14"/>
  <c r="A363" i="14"/>
  <c r="D362" i="14"/>
  <c r="B362" i="14"/>
  <c r="C362" i="14"/>
  <c r="A364" i="14"/>
  <c r="B363" i="14"/>
  <c r="C363" i="14"/>
  <c r="D363" i="14"/>
  <c r="D364" i="14"/>
  <c r="A365" i="14"/>
  <c r="B364" i="14"/>
  <c r="C364" i="14"/>
  <c r="D365" i="14"/>
  <c r="B365" i="14"/>
  <c r="C365" i="14"/>
  <c r="A366" i="14"/>
  <c r="B366" i="14"/>
  <c r="C366" i="14"/>
  <c r="D366" i="14"/>
  <c r="A367" i="14"/>
  <c r="A368" i="14"/>
  <c r="D367" i="14"/>
  <c r="B367" i="14"/>
  <c r="C367" i="14"/>
  <c r="B368" i="14"/>
  <c r="C368" i="14"/>
  <c r="A369" i="14"/>
  <c r="D368" i="14"/>
  <c r="A370" i="14"/>
  <c r="D369" i="14"/>
  <c r="B369" i="14"/>
  <c r="C369" i="14"/>
  <c r="B370" i="14"/>
  <c r="C370" i="14"/>
  <c r="A371" i="14"/>
  <c r="D370" i="14"/>
  <c r="B371" i="14"/>
  <c r="C371" i="14"/>
  <c r="D371" i="14"/>
  <c r="A372" i="14"/>
  <c r="D372" i="14"/>
  <c r="B372" i="14"/>
  <c r="C372" i="14"/>
  <c r="A373" i="14"/>
  <c r="A374" i="14"/>
  <c r="B373" i="14"/>
  <c r="C373" i="14"/>
  <c r="D373" i="14"/>
  <c r="A375" i="14"/>
  <c r="D374" i="14"/>
  <c r="B374" i="14"/>
  <c r="C374" i="14"/>
  <c r="A376" i="14"/>
  <c r="B375" i="14"/>
  <c r="C375" i="14"/>
  <c r="D375" i="14"/>
  <c r="D376" i="14"/>
  <c r="A377" i="14"/>
  <c r="B376" i="14"/>
  <c r="C376" i="14"/>
  <c r="A378" i="14"/>
  <c r="D377" i="14"/>
  <c r="B377" i="14"/>
  <c r="C377" i="14"/>
  <c r="B378" i="14"/>
  <c r="C378" i="14"/>
  <c r="A379" i="14"/>
  <c r="D378" i="14"/>
  <c r="A380" i="14"/>
  <c r="D379" i="14"/>
  <c r="B379" i="14"/>
  <c r="C379" i="14"/>
  <c r="B380" i="14"/>
  <c r="C380" i="14"/>
  <c r="D380" i="14"/>
  <c r="A381" i="14"/>
  <c r="D381" i="14"/>
  <c r="A382" i="14"/>
  <c r="B381" i="14"/>
  <c r="C381" i="14"/>
  <c r="B382" i="14"/>
  <c r="C382" i="14"/>
  <c r="A383" i="14"/>
  <c r="D382" i="14"/>
  <c r="B383" i="14"/>
  <c r="C383" i="14"/>
  <c r="A384" i="14"/>
  <c r="D383" i="14"/>
  <c r="D384" i="14"/>
  <c r="A385" i="14"/>
  <c r="B384" i="14"/>
  <c r="C384" i="14"/>
  <c r="D385" i="14"/>
  <c r="A386" i="14"/>
  <c r="B385" i="14"/>
  <c r="C385" i="14"/>
  <c r="B386" i="14"/>
  <c r="C386" i="14"/>
  <c r="D386" i="14"/>
  <c r="A387" i="14"/>
  <c r="A388" i="14"/>
  <c r="B387" i="14"/>
  <c r="C387" i="14"/>
  <c r="D387" i="14"/>
  <c r="A389" i="14"/>
  <c r="D388" i="14"/>
  <c r="B388" i="14"/>
  <c r="C388" i="14"/>
  <c r="B389" i="14"/>
  <c r="C389" i="14"/>
  <c r="D389" i="14"/>
  <c r="A390" i="14"/>
  <c r="D390" i="14"/>
  <c r="A391" i="14"/>
  <c r="B390" i="14"/>
  <c r="C390" i="14"/>
  <c r="D391" i="14"/>
  <c r="B391" i="14"/>
  <c r="C391" i="14"/>
  <c r="A392" i="14"/>
  <c r="B392" i="14"/>
  <c r="C392" i="14"/>
  <c r="A393" i="14"/>
  <c r="D392" i="14"/>
  <c r="D393" i="14"/>
  <c r="B393" i="14"/>
  <c r="C393" i="14"/>
  <c r="A394" i="14"/>
  <c r="D394" i="14"/>
  <c r="A395" i="14"/>
  <c r="B394" i="14"/>
  <c r="C394" i="14"/>
  <c r="A396" i="14"/>
  <c r="B395" i="14"/>
  <c r="C395" i="14"/>
  <c r="D395" i="14"/>
  <c r="A397" i="14"/>
  <c r="B396" i="14"/>
  <c r="C396" i="14"/>
  <c r="D396" i="14"/>
  <c r="D397" i="14"/>
  <c r="A398" i="14"/>
  <c r="B397" i="14"/>
  <c r="C397" i="14"/>
  <c r="B398" i="14"/>
  <c r="C398" i="14"/>
  <c r="D398" i="14"/>
  <c r="A399" i="14"/>
  <c r="D399" i="14"/>
  <c r="A400" i="14"/>
  <c r="B399" i="14"/>
  <c r="C399" i="14"/>
  <c r="A401" i="14"/>
  <c r="D400" i="14"/>
  <c r="B400" i="14"/>
  <c r="C400" i="14"/>
  <c r="B401" i="14"/>
  <c r="C401" i="14"/>
  <c r="D401" i="14"/>
  <c r="A402" i="14"/>
  <c r="D402" i="14"/>
  <c r="A403" i="14"/>
  <c r="B402" i="14"/>
  <c r="C402" i="14"/>
  <c r="D403" i="14"/>
  <c r="A404" i="14"/>
  <c r="B403" i="14"/>
  <c r="C403" i="14"/>
  <c r="B404" i="14"/>
  <c r="C404" i="14"/>
  <c r="D404" i="14"/>
  <c r="A405" i="14"/>
  <c r="D405" i="14"/>
  <c r="A406" i="14"/>
  <c r="B405" i="14"/>
  <c r="C405" i="14"/>
  <c r="D406" i="14"/>
  <c r="A407" i="14"/>
  <c r="B406" i="14"/>
  <c r="C406" i="14"/>
  <c r="A408" i="14"/>
  <c r="B407" i="14"/>
  <c r="C407" i="14"/>
  <c r="D407" i="14"/>
  <c r="A409" i="14"/>
  <c r="B408" i="14"/>
  <c r="C408" i="14"/>
  <c r="D408" i="14"/>
  <c r="D409" i="14"/>
  <c r="A410" i="14"/>
  <c r="B409" i="14"/>
  <c r="C409" i="14"/>
  <c r="B410" i="14"/>
  <c r="C410" i="14"/>
  <c r="D410" i="14"/>
  <c r="A411" i="14"/>
  <c r="A412" i="14"/>
  <c r="B411" i="14"/>
  <c r="C411" i="14"/>
  <c r="D411" i="14"/>
  <c r="A413" i="14"/>
  <c r="D412" i="14"/>
  <c r="B412" i="14"/>
  <c r="C412" i="14"/>
  <c r="B413" i="14"/>
  <c r="C413" i="14"/>
  <c r="D413" i="14"/>
  <c r="A414" i="14"/>
  <c r="D414" i="14"/>
  <c r="B414" i="14"/>
  <c r="C414" i="14"/>
  <c r="A415" i="14"/>
  <c r="D415" i="14"/>
  <c r="A416" i="14"/>
  <c r="B415" i="14"/>
  <c r="C415" i="14"/>
  <c r="B416" i="14"/>
  <c r="C416" i="14"/>
  <c r="A417" i="14"/>
  <c r="D416" i="14"/>
  <c r="D417" i="14"/>
  <c r="A418" i="14"/>
  <c r="B417" i="14"/>
  <c r="C417" i="14"/>
  <c r="D418" i="14"/>
  <c r="A419" i="14"/>
  <c r="B418" i="14"/>
  <c r="C418" i="14"/>
  <c r="A420" i="14"/>
  <c r="B419" i="14"/>
  <c r="C419" i="14"/>
  <c r="D419" i="14"/>
  <c r="A421" i="14"/>
  <c r="D420" i="14"/>
  <c r="B420" i="14"/>
  <c r="C420" i="14"/>
  <c r="D421" i="14"/>
  <c r="A422" i="14"/>
  <c r="B421" i="14"/>
  <c r="C421" i="14"/>
  <c r="B422" i="14"/>
  <c r="C422" i="14"/>
  <c r="D422" i="14"/>
  <c r="A423" i="14"/>
  <c r="A424" i="14"/>
  <c r="B423" i="14"/>
  <c r="C423" i="14"/>
  <c r="D423" i="14"/>
  <c r="A425" i="14"/>
  <c r="D424" i="14"/>
  <c r="B424" i="14"/>
  <c r="C424" i="14"/>
  <c r="B425" i="14"/>
  <c r="C425" i="14"/>
  <c r="A426" i="14"/>
  <c r="D425" i="14"/>
  <c r="D426" i="14"/>
  <c r="B426" i="14"/>
  <c r="C426" i="14"/>
  <c r="A427" i="14"/>
  <c r="D427" i="14"/>
  <c r="A428" i="14"/>
  <c r="B427" i="14"/>
  <c r="C427" i="14"/>
  <c r="B428" i="14"/>
  <c r="C428" i="14"/>
  <c r="A429" i="14"/>
  <c r="D428" i="14"/>
  <c r="D429" i="14"/>
  <c r="B429" i="14"/>
  <c r="C429" i="14"/>
  <c r="A430" i="14"/>
  <c r="D430" i="14"/>
  <c r="A431" i="14"/>
  <c r="B430" i="14"/>
  <c r="C430" i="14"/>
  <c r="A432" i="14"/>
  <c r="B431" i="14"/>
  <c r="C431" i="14"/>
  <c r="D431" i="14"/>
  <c r="A433" i="14"/>
  <c r="B432" i="14"/>
  <c r="C432" i="14"/>
  <c r="D432" i="14"/>
  <c r="D433" i="14"/>
  <c r="A434" i="14"/>
  <c r="B433" i="14"/>
  <c r="C433" i="14"/>
  <c r="B434" i="14"/>
  <c r="C434" i="14"/>
  <c r="D434" i="14"/>
  <c r="A435" i="14"/>
  <c r="B435" i="14"/>
  <c r="C435" i="14"/>
  <c r="A436" i="14"/>
  <c r="D435" i="14"/>
  <c r="A437" i="14"/>
  <c r="D436" i="14"/>
  <c r="B436" i="14"/>
  <c r="C436" i="14"/>
  <c r="B437" i="14"/>
  <c r="C437" i="14"/>
  <c r="D437" i="14"/>
  <c r="A438" i="14"/>
  <c r="D438" i="14"/>
  <c r="A439" i="14"/>
  <c r="B438" i="14"/>
  <c r="C438" i="14"/>
  <c r="D439" i="14"/>
  <c r="A440" i="14"/>
  <c r="B439" i="14"/>
  <c r="C439" i="14"/>
  <c r="B440" i="14"/>
  <c r="C440" i="14"/>
  <c r="A441" i="14"/>
  <c r="D440" i="14"/>
  <c r="D441" i="14"/>
  <c r="A442" i="14"/>
  <c r="B441" i="14"/>
  <c r="C441" i="14"/>
  <c r="D442" i="14"/>
  <c r="A443" i="14"/>
  <c r="B442" i="14"/>
  <c r="C442" i="14"/>
  <c r="A444" i="14"/>
  <c r="B443" i="14"/>
  <c r="C443" i="14"/>
  <c r="D443" i="14"/>
  <c r="A445" i="14"/>
  <c r="B444" i="14"/>
  <c r="C444" i="14"/>
  <c r="D444" i="14"/>
  <c r="D445" i="14"/>
  <c r="A446" i="14"/>
  <c r="B445" i="14"/>
  <c r="C445" i="14"/>
  <c r="B446" i="14"/>
  <c r="C446" i="14"/>
  <c r="D446" i="14"/>
  <c r="A447" i="14"/>
  <c r="A448" i="14"/>
  <c r="D447" i="14"/>
  <c r="B447" i="14"/>
  <c r="C447" i="14"/>
  <c r="A449" i="14"/>
  <c r="D448" i="14"/>
  <c r="B448" i="14"/>
  <c r="C448" i="14"/>
  <c r="B449" i="14"/>
  <c r="C449" i="14"/>
  <c r="D449" i="14"/>
  <c r="A450" i="14"/>
  <c r="D450" i="14"/>
  <c r="B450" i="14"/>
  <c r="C450" i="14"/>
  <c r="A451" i="14"/>
  <c r="D451" i="14"/>
  <c r="B451" i="14"/>
  <c r="C451" i="14"/>
  <c r="A452" i="14"/>
  <c r="B452" i="14"/>
  <c r="C452" i="14"/>
  <c r="A453" i="14"/>
  <c r="D452" i="14"/>
  <c r="D453" i="14"/>
  <c r="A454" i="14"/>
  <c r="B453" i="14"/>
  <c r="C453" i="14"/>
  <c r="D454" i="14"/>
  <c r="A455" i="14"/>
  <c r="B454" i="14"/>
  <c r="C454" i="14"/>
  <c r="A456" i="14"/>
  <c r="B455" i="14"/>
  <c r="C455" i="14"/>
  <c r="D455" i="14"/>
  <c r="A457" i="14"/>
  <c r="D456" i="14"/>
  <c r="B456" i="14"/>
  <c r="C456" i="14"/>
  <c r="A458" i="14"/>
  <c r="D457" i="14"/>
  <c r="B457" i="14"/>
  <c r="C457" i="14"/>
  <c r="B458" i="14"/>
  <c r="C458" i="14"/>
  <c r="D458" i="14"/>
  <c r="A459" i="14"/>
  <c r="A460" i="14"/>
  <c r="B459" i="14"/>
  <c r="C459" i="14"/>
  <c r="D459" i="14"/>
  <c r="A461" i="14"/>
  <c r="D460" i="14"/>
  <c r="B460" i="14"/>
  <c r="C460" i="14"/>
  <c r="D461" i="14"/>
  <c r="B461" i="14"/>
  <c r="C461" i="14"/>
  <c r="A462" i="14"/>
  <c r="D462" i="14"/>
  <c r="B462" i="14"/>
  <c r="C462" i="14"/>
  <c r="A463" i="14"/>
  <c r="A464" i="14"/>
  <c r="D463" i="14"/>
  <c r="B463" i="14"/>
  <c r="C463" i="14"/>
  <c r="B464" i="14"/>
  <c r="C464" i="14"/>
  <c r="A465" i="14"/>
  <c r="D464" i="14"/>
  <c r="D465" i="14"/>
  <c r="B465" i="14"/>
  <c r="C465" i="14"/>
  <c r="A466" i="14"/>
  <c r="D466" i="14"/>
  <c r="A467" i="14"/>
  <c r="B466" i="14"/>
  <c r="C466" i="14"/>
  <c r="B467" i="14"/>
  <c r="C467" i="14"/>
  <c r="D467" i="14"/>
  <c r="A468" i="14"/>
  <c r="A469" i="14"/>
  <c r="B468" i="14"/>
  <c r="C468" i="14"/>
  <c r="D468" i="14"/>
  <c r="A470" i="14"/>
  <c r="D469" i="14"/>
  <c r="B469" i="14"/>
  <c r="C469" i="14"/>
  <c r="B470" i="14"/>
  <c r="C470" i="14"/>
  <c r="D470" i="14"/>
  <c r="A471" i="14"/>
  <c r="A472" i="14"/>
  <c r="B471" i="14"/>
  <c r="C471" i="14"/>
  <c r="D471" i="14"/>
  <c r="A473" i="14"/>
  <c r="D472" i="14"/>
  <c r="B472" i="14"/>
  <c r="C472" i="14"/>
  <c r="D473" i="14"/>
  <c r="B473" i="14"/>
  <c r="C473" i="14"/>
  <c r="A474" i="14"/>
  <c r="D474" i="14"/>
  <c r="A475" i="14"/>
  <c r="B474" i="14"/>
  <c r="C474" i="14"/>
  <c r="A476" i="14"/>
  <c r="D475" i="14"/>
  <c r="B475" i="14"/>
  <c r="C475" i="14"/>
  <c r="B476" i="14"/>
  <c r="C476" i="14"/>
  <c r="A477" i="14"/>
  <c r="D476" i="14"/>
  <c r="A478" i="14"/>
  <c r="D477" i="14"/>
  <c r="B477" i="14"/>
  <c r="C477" i="14"/>
  <c r="D478" i="14"/>
  <c r="A479" i="14"/>
  <c r="B478" i="14"/>
  <c r="C478" i="14"/>
  <c r="B479" i="14"/>
  <c r="C479" i="14"/>
  <c r="D479" i="14"/>
  <c r="A480" i="14"/>
  <c r="A481" i="14"/>
  <c r="B480" i="14"/>
  <c r="C480" i="14"/>
  <c r="D480" i="14"/>
  <c r="A482" i="14"/>
  <c r="D481" i="14"/>
  <c r="B481" i="14"/>
  <c r="C481" i="14"/>
  <c r="B482" i="14"/>
  <c r="C482" i="14"/>
  <c r="A483" i="14"/>
  <c r="D482" i="14"/>
  <c r="A484" i="14"/>
  <c r="B483" i="14"/>
  <c r="C483" i="14"/>
  <c r="D483" i="14"/>
  <c r="A485" i="14"/>
  <c r="D484" i="14"/>
  <c r="B484" i="14"/>
  <c r="C484" i="14"/>
  <c r="D485" i="14"/>
  <c r="B485" i="14"/>
  <c r="C485" i="14"/>
  <c r="A486" i="14"/>
  <c r="D486" i="14"/>
  <c r="B486" i="14"/>
  <c r="C486" i="14"/>
  <c r="A487" i="14"/>
  <c r="A488" i="14"/>
  <c r="D487" i="14"/>
  <c r="B487" i="14"/>
  <c r="C487" i="14"/>
  <c r="B488" i="14"/>
  <c r="C488" i="14"/>
  <c r="A489" i="14"/>
  <c r="D488" i="14"/>
  <c r="A490" i="14"/>
  <c r="D489" i="14"/>
  <c r="B489" i="14"/>
  <c r="C489" i="14"/>
  <c r="D490" i="14"/>
  <c r="A491" i="14"/>
  <c r="B490" i="14"/>
  <c r="C490" i="14"/>
  <c r="A492" i="14"/>
  <c r="D491" i="14"/>
  <c r="B491" i="14"/>
  <c r="C491" i="14"/>
  <c r="B492" i="14"/>
  <c r="C492" i="14"/>
  <c r="D492" i="14"/>
  <c r="A493" i="14"/>
  <c r="A494" i="14"/>
  <c r="D493" i="14"/>
  <c r="B493" i="14"/>
  <c r="C493" i="14"/>
  <c r="B494" i="14"/>
  <c r="C494" i="14"/>
  <c r="D494" i="14"/>
  <c r="A495" i="14"/>
  <c r="B495" i="14"/>
  <c r="C495" i="14"/>
  <c r="A496" i="14"/>
  <c r="D495" i="14"/>
  <c r="B496" i="14"/>
  <c r="C496" i="14"/>
  <c r="A497" i="14"/>
  <c r="D496" i="14"/>
  <c r="B497" i="14"/>
  <c r="C497" i="14"/>
  <c r="A498" i="14"/>
  <c r="D497" i="14"/>
  <c r="D498" i="14"/>
  <c r="B498" i="14"/>
  <c r="C498" i="14"/>
  <c r="A499" i="14"/>
  <c r="B499" i="14"/>
  <c r="C499" i="14"/>
  <c r="D499" i="14"/>
  <c r="A500" i="14"/>
  <c r="A501" i="14"/>
  <c r="D500" i="14"/>
  <c r="B500" i="14"/>
  <c r="C500" i="14"/>
  <c r="A502" i="14"/>
  <c r="B501" i="14"/>
  <c r="C501" i="14"/>
  <c r="D501" i="14"/>
  <c r="D502" i="14"/>
  <c r="A503" i="14"/>
  <c r="B502" i="14"/>
  <c r="C502" i="14"/>
  <c r="A504" i="14"/>
  <c r="D503" i="14"/>
  <c r="B503" i="14"/>
  <c r="C503" i="14"/>
  <c r="B504" i="14"/>
  <c r="C504" i="14"/>
  <c r="A505" i="14"/>
  <c r="D504" i="14"/>
  <c r="A506" i="14"/>
  <c r="D505" i="14"/>
  <c r="B505" i="14"/>
  <c r="C505" i="14"/>
  <c r="B506" i="14"/>
  <c r="C506" i="14"/>
  <c r="D506" i="14"/>
  <c r="A507" i="14"/>
  <c r="B507" i="14"/>
  <c r="C507" i="14"/>
  <c r="A508" i="14"/>
  <c r="D507" i="14"/>
  <c r="B508" i="14"/>
  <c r="C508" i="14"/>
  <c r="D508" i="14"/>
  <c r="A509" i="14"/>
  <c r="B509" i="14"/>
  <c r="C509" i="14"/>
  <c r="D509" i="14"/>
  <c r="A510" i="14"/>
  <c r="D510" i="14"/>
  <c r="A511" i="14"/>
  <c r="B510" i="14"/>
  <c r="C510" i="14"/>
  <c r="B511" i="14"/>
  <c r="C511" i="14"/>
  <c r="A512" i="14"/>
  <c r="D511" i="14"/>
  <c r="A513" i="14"/>
  <c r="D512" i="14"/>
  <c r="B512" i="14"/>
  <c r="C512" i="14"/>
  <c r="A514" i="14"/>
  <c r="D513" i="14"/>
  <c r="B513" i="14"/>
  <c r="C513" i="14"/>
  <c r="D514" i="14"/>
  <c r="A515" i="14"/>
  <c r="B514" i="14"/>
  <c r="C514" i="14"/>
  <c r="A516" i="14"/>
  <c r="D515" i="14"/>
  <c r="B515" i="14"/>
  <c r="C515" i="14"/>
  <c r="B516" i="14"/>
  <c r="C516" i="14"/>
  <c r="A517" i="14"/>
  <c r="D516" i="14"/>
  <c r="A518" i="14"/>
  <c r="D517" i="14"/>
  <c r="B517" i="14"/>
  <c r="C517" i="14"/>
  <c r="B518" i="14"/>
  <c r="C518" i="14"/>
  <c r="A519" i="14"/>
  <c r="D518" i="14"/>
  <c r="B519" i="14"/>
  <c r="C519" i="14"/>
  <c r="A520" i="14"/>
  <c r="D519" i="14"/>
  <c r="B520" i="14"/>
  <c r="C520" i="14"/>
  <c r="D520" i="14"/>
  <c r="A521" i="14"/>
  <c r="B521" i="14"/>
  <c r="C521" i="14"/>
  <c r="A522" i="14"/>
  <c r="D521" i="14"/>
  <c r="D522" i="14"/>
  <c r="B522" i="14"/>
  <c r="C522" i="14"/>
  <c r="A523" i="14"/>
  <c r="B523" i="14"/>
  <c r="C523" i="14"/>
  <c r="A524" i="14"/>
  <c r="D523" i="14"/>
  <c r="D524" i="14"/>
  <c r="A525" i="14"/>
  <c r="B524" i="14"/>
  <c r="C524" i="14"/>
  <c r="A526" i="14"/>
  <c r="D525" i="14"/>
  <c r="B525" i="14"/>
  <c r="C525" i="14"/>
  <c r="D526" i="14"/>
  <c r="B526" i="14"/>
  <c r="C526" i="14"/>
  <c r="A527" i="14"/>
  <c r="D527" i="14"/>
  <c r="A528" i="14"/>
  <c r="B527" i="14"/>
  <c r="C527" i="14"/>
  <c r="B528" i="14"/>
  <c r="C528" i="14"/>
  <c r="A529" i="14"/>
  <c r="D528" i="14"/>
  <c r="A530" i="14"/>
  <c r="D529" i="14"/>
  <c r="B529" i="14"/>
  <c r="C529" i="14"/>
  <c r="B530" i="14"/>
  <c r="C530" i="14"/>
  <c r="D530" i="14"/>
  <c r="A531" i="14"/>
  <c r="B531" i="14"/>
  <c r="C531" i="14"/>
  <c r="A532" i="14"/>
  <c r="D531" i="14"/>
  <c r="B532" i="14"/>
  <c r="C532" i="14"/>
  <c r="A533" i="14"/>
  <c r="D532" i="14"/>
  <c r="A534" i="14"/>
  <c r="D533" i="14"/>
  <c r="B533" i="14"/>
  <c r="C533" i="14"/>
  <c r="D534" i="14"/>
  <c r="B534" i="14"/>
  <c r="C534" i="14"/>
  <c r="A535" i="14"/>
  <c r="B535" i="14"/>
  <c r="C535" i="14"/>
  <c r="A536" i="14"/>
  <c r="D535" i="14"/>
  <c r="D536" i="14"/>
  <c r="A537" i="14"/>
  <c r="B536" i="14"/>
  <c r="C536" i="14"/>
  <c r="A538" i="14"/>
  <c r="D537" i="14"/>
  <c r="B537" i="14"/>
  <c r="C537" i="14"/>
  <c r="D538" i="14"/>
  <c r="B538" i="14"/>
  <c r="C538" i="14"/>
  <c r="A539" i="14"/>
  <c r="D539" i="14"/>
  <c r="A540" i="14"/>
  <c r="B539" i="14"/>
  <c r="C539" i="14"/>
  <c r="B540" i="14"/>
  <c r="C540" i="14"/>
  <c r="A541" i="14"/>
  <c r="D540" i="14"/>
  <c r="A542" i="14"/>
  <c r="D541" i="14"/>
  <c r="B541" i="14"/>
  <c r="C541" i="14"/>
  <c r="B542" i="14"/>
  <c r="C542" i="14"/>
  <c r="D542" i="14"/>
  <c r="A543" i="14"/>
  <c r="B543" i="14"/>
  <c r="C543" i="14"/>
  <c r="A544" i="14"/>
  <c r="D543" i="14"/>
  <c r="B544" i="14"/>
  <c r="C544" i="14"/>
  <c r="A545" i="14"/>
  <c r="D544" i="14"/>
  <c r="A546" i="14"/>
  <c r="D545" i="14"/>
  <c r="B545" i="14"/>
  <c r="C545" i="14"/>
  <c r="D546" i="14"/>
  <c r="B546" i="14"/>
  <c r="C546" i="14"/>
  <c r="A547" i="14"/>
  <c r="B547" i="14"/>
  <c r="C547" i="14"/>
  <c r="D547" i="14"/>
  <c r="A548" i="14"/>
  <c r="D548" i="14"/>
  <c r="A549" i="14"/>
  <c r="B548" i="14"/>
  <c r="C548" i="14"/>
  <c r="A550" i="14"/>
  <c r="D549" i="14"/>
  <c r="B549" i="14"/>
  <c r="C549" i="14"/>
  <c r="B550" i="14"/>
  <c r="C550" i="14"/>
  <c r="A551" i="14"/>
  <c r="D550" i="14"/>
  <c r="D551" i="14"/>
  <c r="A552" i="14"/>
  <c r="B551" i="14"/>
  <c r="C551" i="14"/>
  <c r="B552" i="14"/>
  <c r="C552" i="14"/>
  <c r="D552" i="14"/>
  <c r="A553" i="14"/>
  <c r="B553" i="14"/>
  <c r="C553" i="14"/>
  <c r="A554" i="14"/>
  <c r="D553" i="14"/>
  <c r="B554" i="14"/>
  <c r="C554" i="14"/>
  <c r="D554" i="14"/>
  <c r="A555" i="14"/>
  <c r="B555" i="14"/>
  <c r="C555" i="14"/>
  <c r="D555" i="14"/>
  <c r="A556" i="14"/>
  <c r="B556" i="14"/>
  <c r="C556" i="14"/>
  <c r="D556" i="14"/>
  <c r="A557" i="14"/>
  <c r="B557" i="14"/>
  <c r="C557" i="14"/>
  <c r="A558" i="14"/>
  <c r="D557" i="14"/>
  <c r="D558" i="14"/>
  <c r="B558" i="14"/>
  <c r="C558" i="14"/>
  <c r="A559" i="14"/>
  <c r="A560" i="14"/>
  <c r="B559" i="14"/>
  <c r="C559" i="14"/>
  <c r="D559" i="14"/>
  <c r="A561" i="14"/>
  <c r="D560" i="14"/>
  <c r="B560" i="14"/>
  <c r="C560" i="14"/>
  <c r="A562" i="14"/>
  <c r="B561" i="14"/>
  <c r="C561" i="14"/>
  <c r="D561" i="14"/>
  <c r="D562" i="14"/>
  <c r="B562" i="14"/>
  <c r="C562" i="14"/>
  <c r="A563" i="14"/>
  <c r="D563" i="14"/>
  <c r="B563" i="14"/>
  <c r="C563" i="14"/>
  <c r="A564" i="14"/>
  <c r="B564" i="14"/>
  <c r="C564" i="14"/>
  <c r="A565" i="14"/>
  <c r="D564" i="14"/>
  <c r="A566" i="14"/>
  <c r="D565" i="14"/>
  <c r="B565" i="14"/>
  <c r="C565" i="14"/>
  <c r="D566" i="14"/>
  <c r="A567" i="14"/>
  <c r="B566" i="14"/>
  <c r="C566" i="14"/>
  <c r="B567" i="14"/>
  <c r="C567" i="14"/>
  <c r="A568" i="14"/>
  <c r="D567" i="14"/>
  <c r="D568" i="14"/>
  <c r="A569" i="14"/>
  <c r="B568" i="14"/>
  <c r="C568" i="14"/>
  <c r="D569" i="14"/>
  <c r="A570" i="14"/>
  <c r="B569" i="14"/>
  <c r="C569" i="14"/>
  <c r="D570" i="14"/>
  <c r="B570" i="14"/>
  <c r="C570" i="14"/>
  <c r="A571" i="14"/>
  <c r="D571" i="14"/>
  <c r="B571" i="14"/>
  <c r="C571" i="14"/>
  <c r="A572" i="14"/>
  <c r="A573" i="14"/>
  <c r="D572" i="14"/>
  <c r="B572" i="14"/>
  <c r="C572" i="14"/>
  <c r="A574" i="14"/>
  <c r="B573" i="14"/>
  <c r="C573" i="14"/>
  <c r="D573" i="14"/>
  <c r="B574" i="14"/>
  <c r="C574" i="14"/>
  <c r="A575" i="14"/>
  <c r="D574" i="14"/>
  <c r="A576" i="14"/>
  <c r="D575" i="14"/>
  <c r="B575" i="14"/>
  <c r="C575" i="14"/>
  <c r="B576" i="14"/>
  <c r="C576" i="14"/>
  <c r="A577" i="14"/>
  <c r="D576" i="14"/>
  <c r="D577" i="14"/>
  <c r="A578" i="14"/>
  <c r="B577" i="14"/>
  <c r="C577" i="14"/>
  <c r="D578" i="14"/>
  <c r="B578" i="14"/>
  <c r="C578" i="14"/>
  <c r="A579" i="14"/>
  <c r="B579" i="14"/>
  <c r="C579" i="14"/>
  <c r="D579" i="14"/>
  <c r="A580" i="14"/>
  <c r="D580" i="14"/>
  <c r="A581" i="14"/>
  <c r="B580" i="14"/>
  <c r="C580" i="14"/>
  <c r="A582" i="14"/>
  <c r="B581" i="14"/>
  <c r="C581" i="14"/>
  <c r="D581" i="14"/>
  <c r="D582" i="14"/>
  <c r="B582" i="14"/>
  <c r="C582" i="14"/>
  <c r="A583" i="14"/>
  <c r="D583" i="14"/>
  <c r="A584" i="14"/>
  <c r="B583" i="14"/>
  <c r="C583" i="14"/>
  <c r="D584" i="14"/>
  <c r="A585" i="14"/>
  <c r="B584" i="14"/>
  <c r="C584" i="14"/>
  <c r="B585" i="14"/>
  <c r="C585" i="14"/>
  <c r="D585" i="14"/>
  <c r="A586" i="14"/>
  <c r="D586" i="14"/>
  <c r="A587" i="14"/>
  <c r="B586" i="14"/>
  <c r="C586" i="14"/>
  <c r="D587" i="14"/>
  <c r="A588" i="14"/>
  <c r="B587" i="14"/>
  <c r="C587" i="14"/>
  <c r="B588" i="14"/>
  <c r="C588" i="14"/>
  <c r="A589" i="14"/>
  <c r="D588" i="14"/>
  <c r="B589" i="14"/>
  <c r="C589" i="14"/>
  <c r="D589" i="14"/>
  <c r="A590" i="14"/>
  <c r="B590" i="14"/>
  <c r="C590" i="14"/>
  <c r="A591" i="14"/>
  <c r="D590" i="14"/>
  <c r="B591" i="14"/>
  <c r="C591" i="14"/>
  <c r="D591" i="14"/>
  <c r="A592" i="14"/>
  <c r="A593" i="14"/>
  <c r="B592" i="14"/>
  <c r="C592" i="14"/>
  <c r="D592" i="14"/>
  <c r="D593" i="14"/>
  <c r="A594" i="14"/>
  <c r="B593" i="14"/>
  <c r="C593" i="14"/>
  <c r="D594" i="14"/>
  <c r="B594" i="14"/>
  <c r="C594" i="14"/>
  <c r="A595" i="14"/>
  <c r="D595" i="14"/>
  <c r="A596" i="14"/>
  <c r="B595" i="14"/>
  <c r="C595" i="14"/>
  <c r="D596" i="14"/>
  <c r="A597" i="14"/>
  <c r="B596" i="14"/>
  <c r="C596" i="14"/>
  <c r="B597" i="14"/>
  <c r="C597" i="14"/>
  <c r="D597" i="14"/>
  <c r="A598" i="14"/>
  <c r="A599" i="14"/>
  <c r="D598" i="14"/>
  <c r="B598" i="14"/>
  <c r="C598" i="14"/>
  <c r="A600" i="14"/>
  <c r="B599" i="14"/>
  <c r="C599" i="14"/>
  <c r="D599" i="14"/>
  <c r="B600" i="14"/>
  <c r="C600" i="14"/>
  <c r="D600" i="14"/>
  <c r="A601" i="14"/>
  <c r="B601" i="14"/>
  <c r="C601" i="14"/>
  <c r="D601" i="14"/>
  <c r="A602" i="14"/>
  <c r="D602" i="14"/>
  <c r="A603" i="14"/>
  <c r="B602" i="14"/>
  <c r="C602" i="14"/>
  <c r="B603" i="14"/>
  <c r="C603" i="14"/>
  <c r="D603" i="14"/>
  <c r="A604" i="14"/>
  <c r="B604" i="14"/>
  <c r="C604" i="14"/>
  <c r="D604" i="14"/>
  <c r="A605" i="14"/>
  <c r="D605" i="14"/>
  <c r="A606" i="14"/>
  <c r="B605" i="14"/>
  <c r="C605" i="14"/>
  <c r="D606" i="14"/>
  <c r="B606" i="14"/>
  <c r="C606" i="14"/>
  <c r="A607" i="14"/>
  <c r="B607" i="14"/>
  <c r="C607" i="14"/>
  <c r="D607" i="14"/>
  <c r="A608" i="14"/>
  <c r="D608" i="14"/>
  <c r="B608" i="14"/>
  <c r="C608" i="14"/>
  <c r="A609" i="14"/>
  <c r="B609" i="14"/>
  <c r="C609" i="14"/>
  <c r="D609" i="14"/>
  <c r="A610" i="14"/>
  <c r="B610" i="14"/>
  <c r="C610" i="14"/>
  <c r="D610" i="14"/>
  <c r="A611" i="14"/>
  <c r="A612" i="14"/>
  <c r="D611" i="14"/>
  <c r="B611" i="14"/>
  <c r="C611" i="14"/>
  <c r="B612" i="14"/>
  <c r="C612" i="14"/>
  <c r="A613" i="14"/>
  <c r="D612" i="14"/>
  <c r="D613" i="14"/>
  <c r="A614" i="14"/>
  <c r="B613" i="14"/>
  <c r="C613" i="14"/>
  <c r="D614" i="14"/>
  <c r="B614" i="14"/>
  <c r="C614" i="14"/>
  <c r="A615" i="14"/>
  <c r="B615" i="14"/>
  <c r="C615" i="14"/>
  <c r="A616" i="14"/>
  <c r="D615" i="14"/>
  <c r="D616" i="14"/>
  <c r="A617" i="14"/>
  <c r="B616" i="14"/>
  <c r="C616" i="14"/>
  <c r="D617" i="14"/>
  <c r="A618" i="14"/>
  <c r="B617" i="14"/>
  <c r="C617" i="14"/>
  <c r="D618" i="14"/>
  <c r="A619" i="14"/>
  <c r="B618" i="14"/>
  <c r="C618" i="14"/>
  <c r="D619" i="14"/>
  <c r="A620" i="14"/>
  <c r="B619" i="14"/>
  <c r="C619" i="14"/>
  <c r="B620" i="14"/>
  <c r="C620" i="14"/>
  <c r="A621" i="14"/>
  <c r="D620" i="14"/>
  <c r="B621" i="14"/>
  <c r="C621" i="14"/>
  <c r="D621" i="14"/>
  <c r="A622" i="14"/>
  <c r="D622" i="14"/>
  <c r="A623" i="14"/>
  <c r="B622" i="14"/>
  <c r="C622" i="14"/>
  <c r="D623" i="14"/>
  <c r="A624" i="14"/>
  <c r="B623" i="14"/>
  <c r="C623" i="14"/>
  <c r="B624" i="14"/>
  <c r="C624" i="14"/>
  <c r="A625" i="14"/>
  <c r="D624" i="14"/>
  <c r="B625" i="14"/>
  <c r="C625" i="14"/>
  <c r="D625" i="14"/>
  <c r="A626" i="14"/>
  <c r="B626" i="14"/>
  <c r="C626" i="14"/>
  <c r="A627" i="14"/>
  <c r="D626" i="14"/>
  <c r="B627" i="14"/>
  <c r="C627" i="14"/>
  <c r="D627" i="14"/>
  <c r="A628" i="14"/>
  <c r="D628" i="14"/>
  <c r="A629" i="14"/>
  <c r="B628" i="14"/>
  <c r="C628" i="14"/>
  <c r="D629" i="14"/>
  <c r="A630" i="14"/>
  <c r="B629" i="14"/>
  <c r="C629" i="14"/>
  <c r="D630" i="14"/>
  <c r="B630" i="14"/>
  <c r="C630" i="14"/>
  <c r="A631" i="14"/>
  <c r="D631" i="14"/>
  <c r="A632" i="14"/>
  <c r="B631" i="14"/>
  <c r="C631" i="14"/>
  <c r="D632" i="14"/>
  <c r="A633" i="14"/>
  <c r="B632" i="14"/>
  <c r="C632" i="14"/>
  <c r="B633" i="14"/>
  <c r="C633" i="14"/>
  <c r="D633" i="14"/>
  <c r="A634" i="14"/>
  <c r="B634" i="14"/>
  <c r="C634" i="14"/>
  <c r="D634" i="14"/>
  <c r="A635" i="14"/>
  <c r="A636" i="14"/>
  <c r="B635" i="14"/>
  <c r="C635" i="14"/>
  <c r="D635" i="14"/>
  <c r="B636" i="14"/>
  <c r="C636" i="14"/>
  <c r="D636" i="14"/>
  <c r="A637" i="14"/>
  <c r="B637" i="14"/>
  <c r="C637" i="14"/>
  <c r="A638" i="14"/>
  <c r="D637" i="14"/>
  <c r="D638" i="14"/>
  <c r="A639" i="14"/>
  <c r="B638" i="14"/>
  <c r="C638" i="14"/>
  <c r="B639" i="14"/>
  <c r="C639" i="14"/>
  <c r="D639" i="14"/>
  <c r="A640" i="14"/>
  <c r="D640" i="14"/>
  <c r="A641" i="14"/>
  <c r="B640" i="14"/>
  <c r="C640" i="14"/>
  <c r="D641" i="14"/>
  <c r="B641" i="14"/>
  <c r="C641" i="14"/>
  <c r="A642" i="14"/>
  <c r="D642" i="14"/>
  <c r="B642" i="14"/>
  <c r="C642" i="14"/>
  <c r="A643" i="14"/>
  <c r="D643" i="14"/>
  <c r="A644" i="14"/>
  <c r="B643" i="14"/>
  <c r="C643" i="14"/>
  <c r="D644" i="14"/>
  <c r="A645" i="14"/>
  <c r="B644" i="14"/>
  <c r="C644" i="14"/>
  <c r="B645" i="14"/>
  <c r="C645" i="14"/>
  <c r="D645" i="14"/>
  <c r="A646" i="14"/>
  <c r="B646" i="14"/>
  <c r="C646" i="14"/>
  <c r="A647" i="14"/>
  <c r="D646" i="14"/>
  <c r="A648" i="14"/>
  <c r="B647" i="14"/>
  <c r="C647" i="14"/>
  <c r="D647" i="14"/>
  <c r="B648" i="14"/>
  <c r="C648" i="14"/>
  <c r="A649" i="14"/>
  <c r="D648" i="14"/>
  <c r="D649" i="14"/>
  <c r="A650" i="14"/>
  <c r="B649" i="14"/>
  <c r="C649" i="14"/>
  <c r="D650" i="14"/>
  <c r="B650" i="14"/>
  <c r="C650" i="14"/>
  <c r="A651" i="14"/>
  <c r="B651" i="14"/>
  <c r="C651" i="14"/>
  <c r="A652" i="14"/>
  <c r="D651" i="14"/>
  <c r="D652" i="14"/>
  <c r="A653" i="14"/>
  <c r="B652" i="14"/>
  <c r="C652" i="14"/>
  <c r="D653" i="14"/>
  <c r="A654" i="14"/>
  <c r="B653" i="14"/>
  <c r="C653" i="14"/>
  <c r="D654" i="14"/>
  <c r="A655" i="14"/>
  <c r="B654" i="14"/>
  <c r="C654" i="14"/>
  <c r="D655" i="14"/>
  <c r="A656" i="14"/>
  <c r="B655" i="14"/>
  <c r="C655" i="14"/>
  <c r="D656" i="14"/>
  <c r="A657" i="14"/>
  <c r="B656" i="14"/>
  <c r="C656" i="14"/>
  <c r="B657" i="14"/>
  <c r="C657" i="14"/>
  <c r="D657" i="14"/>
  <c r="A658" i="14"/>
  <c r="D658" i="14"/>
  <c r="A659" i="14"/>
  <c r="B658" i="14"/>
  <c r="C658" i="14"/>
  <c r="D659" i="14"/>
  <c r="B659" i="14"/>
  <c r="C659" i="14"/>
  <c r="A660" i="14"/>
  <c r="A661" i="14"/>
  <c r="B660" i="14"/>
  <c r="C660" i="14"/>
  <c r="D660" i="14"/>
  <c r="A662" i="14"/>
  <c r="B661" i="14"/>
  <c r="C661" i="14"/>
  <c r="D661" i="14"/>
  <c r="B662" i="14"/>
  <c r="C662" i="14"/>
  <c r="D662" i="14"/>
  <c r="A663" i="14"/>
  <c r="A664" i="14"/>
  <c r="D663" i="14"/>
  <c r="B663" i="14"/>
  <c r="C663" i="14"/>
  <c r="A665" i="14"/>
  <c r="B664" i="14"/>
  <c r="C664" i="14"/>
  <c r="D664" i="14"/>
  <c r="D665" i="14"/>
  <c r="B665" i="14"/>
  <c r="C665" i="14"/>
  <c r="A666" i="14"/>
  <c r="B666" i="14"/>
  <c r="C666" i="14"/>
  <c r="D666" i="14"/>
  <c r="A667" i="14"/>
  <c r="A668" i="14"/>
  <c r="B667" i="14"/>
  <c r="C667" i="14"/>
  <c r="D667" i="14"/>
  <c r="D668" i="14"/>
  <c r="B668" i="14"/>
  <c r="C668" i="14"/>
  <c r="A669" i="14"/>
  <c r="A670" i="14"/>
  <c r="B669" i="14"/>
  <c r="C669" i="14"/>
  <c r="D669" i="14"/>
  <c r="D670" i="14"/>
  <c r="A671" i="14"/>
  <c r="B670" i="14"/>
  <c r="C670" i="14"/>
  <c r="D671" i="14"/>
  <c r="A672" i="14"/>
  <c r="B671" i="14"/>
  <c r="C671" i="14"/>
  <c r="A673" i="14"/>
  <c r="D672" i="14"/>
  <c r="B672" i="14"/>
  <c r="C672" i="14"/>
  <c r="D673" i="14"/>
  <c r="A674" i="14"/>
  <c r="B673" i="14"/>
  <c r="C673" i="14"/>
  <c r="B674" i="14"/>
  <c r="C674" i="14"/>
  <c r="A675" i="14"/>
  <c r="D674" i="14"/>
  <c r="D675" i="14"/>
  <c r="B675" i="14"/>
  <c r="C675" i="14"/>
  <c r="A676" i="14"/>
  <c r="A677" i="14"/>
  <c r="D676" i="14"/>
  <c r="B676" i="14"/>
  <c r="C676" i="14"/>
  <c r="B677" i="14"/>
  <c r="C677" i="14"/>
  <c r="D677" i="14"/>
  <c r="A678" i="14"/>
  <c r="D678" i="14"/>
  <c r="B678" i="14"/>
  <c r="C678" i="14"/>
  <c r="A679" i="14"/>
  <c r="A680" i="14"/>
  <c r="D679" i="14"/>
  <c r="B679" i="14"/>
  <c r="C679" i="14"/>
  <c r="B680" i="14"/>
  <c r="C680" i="14"/>
  <c r="A681" i="14"/>
  <c r="D680" i="14"/>
  <c r="B681" i="14"/>
  <c r="C681" i="14"/>
  <c r="D681" i="14"/>
  <c r="A682" i="14"/>
  <c r="D682" i="14"/>
  <c r="A683" i="14"/>
  <c r="B682" i="14"/>
  <c r="C682" i="14"/>
  <c r="B683" i="14"/>
  <c r="C683" i="14"/>
  <c r="D683" i="14"/>
  <c r="A684" i="14"/>
  <c r="B684" i="14"/>
  <c r="C684" i="14"/>
  <c r="D684" i="14"/>
  <c r="A685" i="14"/>
  <c r="D685" i="14"/>
  <c r="A686" i="14"/>
  <c r="B685" i="14"/>
  <c r="C685" i="14"/>
  <c r="B686" i="14"/>
  <c r="C686" i="14"/>
  <c r="D686" i="14"/>
  <c r="A687" i="14"/>
  <c r="B687" i="14"/>
  <c r="C687" i="14"/>
  <c r="A688" i="14"/>
  <c r="D687" i="14"/>
  <c r="A689" i="14"/>
  <c r="D688" i="14"/>
  <c r="B688" i="14"/>
  <c r="C688" i="14"/>
  <c r="B689" i="14"/>
  <c r="C689" i="14"/>
  <c r="D689" i="14"/>
  <c r="A690" i="14"/>
  <c r="B690" i="14"/>
  <c r="C690" i="14"/>
  <c r="D690" i="14"/>
  <c r="A691" i="14"/>
  <c r="A692" i="14"/>
  <c r="D691" i="14"/>
  <c r="B691" i="14"/>
  <c r="C691" i="14"/>
  <c r="B692" i="14"/>
  <c r="C692" i="14"/>
  <c r="A693" i="14"/>
  <c r="D692" i="14"/>
  <c r="A694" i="14"/>
  <c r="B693" i="14"/>
  <c r="C693" i="14"/>
  <c r="D693" i="14"/>
  <c r="D694" i="14"/>
  <c r="A695" i="14"/>
  <c r="B694" i="14"/>
  <c r="C694" i="14"/>
  <c r="B695" i="14"/>
  <c r="C695" i="14"/>
  <c r="A696" i="14"/>
  <c r="D695" i="14"/>
  <c r="A697" i="14"/>
  <c r="D696" i="14"/>
  <c r="B696" i="14"/>
  <c r="C696" i="14"/>
  <c r="D697" i="14"/>
  <c r="A698" i="14"/>
  <c r="B697" i="14"/>
  <c r="C697" i="14"/>
  <c r="B698" i="14"/>
  <c r="C698" i="14"/>
  <c r="D698" i="14"/>
  <c r="A699" i="14"/>
  <c r="B699" i="14"/>
  <c r="C699" i="14"/>
  <c r="A700" i="14"/>
  <c r="D699" i="14"/>
  <c r="A701" i="14"/>
  <c r="D700" i="14"/>
  <c r="B700" i="14"/>
  <c r="C700" i="14"/>
  <c r="B701" i="14"/>
  <c r="C701" i="14"/>
  <c r="A702" i="14"/>
  <c r="D701" i="14"/>
  <c r="B702" i="14"/>
  <c r="C702" i="14"/>
  <c r="D702" i="14"/>
  <c r="A703" i="14"/>
  <c r="A704" i="14"/>
  <c r="D703" i="14"/>
  <c r="B703" i="14"/>
  <c r="C703" i="14"/>
  <c r="A705" i="14"/>
  <c r="B704" i="14"/>
  <c r="C704" i="14"/>
  <c r="D704" i="14"/>
  <c r="D705" i="14"/>
  <c r="A706" i="14"/>
  <c r="B705" i="14"/>
  <c r="C705" i="14"/>
  <c r="A707" i="14"/>
  <c r="D706" i="14"/>
  <c r="B706" i="14"/>
  <c r="C706" i="14"/>
  <c r="A708" i="14"/>
  <c r="B707" i="14"/>
  <c r="C707" i="14"/>
  <c r="D707" i="14"/>
  <c r="D708" i="14"/>
  <c r="A709" i="14"/>
  <c r="B708" i="14"/>
  <c r="C708" i="14"/>
  <c r="D709" i="14"/>
  <c r="A710" i="14"/>
  <c r="B709" i="14"/>
  <c r="C709" i="14"/>
  <c r="B710" i="14"/>
  <c r="C710" i="14"/>
  <c r="A711" i="14"/>
  <c r="D710" i="14"/>
  <c r="B711" i="14"/>
  <c r="C711" i="14"/>
  <c r="D711" i="14"/>
  <c r="A712" i="14"/>
  <c r="D712" i="14"/>
  <c r="B712" i="14"/>
  <c r="C712" i="14"/>
  <c r="A713" i="14"/>
  <c r="B713" i="14"/>
  <c r="C713" i="14"/>
  <c r="D713" i="14"/>
  <c r="A714" i="14"/>
  <c r="A715" i="14"/>
  <c r="D714" i="14"/>
  <c r="B714" i="14"/>
  <c r="C714" i="14"/>
  <c r="B715" i="14"/>
  <c r="C715" i="14"/>
  <c r="D715" i="14"/>
  <c r="A716" i="14"/>
  <c r="A717" i="14"/>
  <c r="D716" i="14"/>
  <c r="B716" i="14"/>
  <c r="C716" i="14"/>
  <c r="B717" i="14"/>
  <c r="C717" i="14"/>
  <c r="D717" i="14"/>
  <c r="A718" i="14"/>
  <c r="A719" i="14"/>
  <c r="D718" i="14"/>
  <c r="B718" i="14"/>
  <c r="C718" i="14"/>
  <c r="A720" i="14"/>
  <c r="D719" i="14"/>
  <c r="B719" i="14"/>
  <c r="C719" i="14"/>
  <c r="D720" i="14"/>
  <c r="B720" i="14"/>
  <c r="C720" i="14"/>
  <c r="A721" i="14"/>
  <c r="D721" i="14"/>
  <c r="A722" i="14"/>
  <c r="B721" i="14"/>
  <c r="C721" i="14"/>
  <c r="B722" i="14"/>
  <c r="C722" i="14"/>
  <c r="A723" i="14"/>
  <c r="D722" i="14"/>
  <c r="B723" i="14"/>
  <c r="C723" i="14"/>
  <c r="A724" i="14"/>
  <c r="D723" i="14"/>
  <c r="D724" i="14"/>
  <c r="B724" i="14"/>
  <c r="C724" i="14"/>
  <c r="A725" i="14"/>
  <c r="B725" i="14"/>
  <c r="C725" i="14"/>
  <c r="D725" i="14"/>
  <c r="A726" i="14"/>
  <c r="D726" i="14"/>
  <c r="B726" i="14"/>
  <c r="C726" i="14"/>
  <c r="A727" i="14"/>
  <c r="B727" i="14"/>
  <c r="C727" i="14"/>
  <c r="D727" i="14"/>
  <c r="A728" i="14"/>
  <c r="A729" i="14"/>
  <c r="D728" i="14"/>
  <c r="B728" i="14"/>
  <c r="C728" i="14"/>
  <c r="A730" i="14"/>
  <c r="D729" i="14"/>
  <c r="B729" i="14"/>
  <c r="C729" i="14"/>
  <c r="A731" i="14"/>
  <c r="D730" i="14"/>
  <c r="B730" i="14"/>
  <c r="C730" i="14"/>
  <c r="A732" i="14"/>
  <c r="D731" i="14"/>
  <c r="B731" i="14"/>
  <c r="C731" i="14"/>
  <c r="D732" i="14"/>
  <c r="B732" i="14"/>
  <c r="C732" i="14"/>
  <c r="A733" i="14"/>
  <c r="A734" i="14"/>
  <c r="B733" i="14"/>
  <c r="C733" i="14"/>
  <c r="D733" i="14"/>
  <c r="B734" i="14"/>
  <c r="C734" i="14"/>
  <c r="D734" i="14"/>
  <c r="A735" i="14"/>
  <c r="B735" i="14"/>
  <c r="C735" i="14"/>
  <c r="D735" i="14"/>
  <c r="A736" i="14"/>
  <c r="D736" i="14"/>
  <c r="A737" i="14"/>
  <c r="B736" i="14"/>
  <c r="C736" i="14"/>
  <c r="B737" i="14"/>
  <c r="C737" i="14"/>
  <c r="D737" i="14"/>
  <c r="A738" i="14"/>
  <c r="B738" i="14"/>
  <c r="C738" i="14"/>
  <c r="A739" i="14"/>
  <c r="D738" i="14"/>
  <c r="B739" i="14"/>
  <c r="C739" i="14"/>
  <c r="D739" i="14"/>
  <c r="A740" i="14"/>
  <c r="A741" i="14"/>
  <c r="D740" i="14"/>
  <c r="B740" i="14"/>
  <c r="C740" i="14"/>
  <c r="D741" i="14"/>
  <c r="A742" i="14"/>
  <c r="B741" i="14"/>
  <c r="C741" i="14"/>
  <c r="D742" i="14"/>
  <c r="B742" i="14"/>
  <c r="C742" i="14"/>
  <c r="A743" i="14"/>
  <c r="A744" i="14"/>
  <c r="D743" i="14"/>
  <c r="B743" i="14"/>
  <c r="C743" i="14"/>
  <c r="D744" i="14"/>
  <c r="A745" i="14"/>
  <c r="B744" i="14"/>
  <c r="C744" i="14"/>
  <c r="A746" i="14"/>
  <c r="B745" i="14"/>
  <c r="C745" i="14"/>
  <c r="D745" i="14"/>
  <c r="B746" i="14"/>
  <c r="C746" i="14"/>
  <c r="A747" i="14"/>
  <c r="D746" i="14"/>
  <c r="B747" i="14"/>
  <c r="C747" i="14"/>
  <c r="A748" i="14"/>
  <c r="D747" i="14"/>
  <c r="D748" i="14"/>
  <c r="A749" i="14"/>
  <c r="B748" i="14"/>
  <c r="C748" i="14"/>
  <c r="B749" i="14"/>
  <c r="C749" i="14"/>
  <c r="D749" i="14"/>
  <c r="A750" i="14"/>
  <c r="D750" i="14"/>
  <c r="B750" i="14"/>
  <c r="C750" i="14"/>
  <c r="A751" i="14"/>
  <c r="B751" i="14"/>
  <c r="C751" i="14"/>
  <c r="D751" i="14"/>
  <c r="A752" i="14"/>
  <c r="A753" i="14"/>
  <c r="D752" i="14"/>
  <c r="B752" i="14"/>
  <c r="C752" i="14"/>
  <c r="A754" i="14"/>
  <c r="D753" i="14"/>
  <c r="B753" i="14"/>
  <c r="C753" i="14"/>
  <c r="D754" i="14"/>
  <c r="B754" i="14"/>
  <c r="C754" i="14"/>
  <c r="A755" i="14"/>
  <c r="A756" i="14"/>
  <c r="D755" i="14"/>
  <c r="B755" i="14"/>
  <c r="C755" i="14"/>
  <c r="D756" i="14"/>
  <c r="A757" i="14"/>
  <c r="B756" i="14"/>
  <c r="C756" i="14"/>
  <c r="A758" i="14"/>
  <c r="B757" i="14"/>
  <c r="C757" i="14"/>
  <c r="D757" i="14"/>
  <c r="B758" i="14"/>
  <c r="C758" i="14"/>
  <c r="D758" i="14"/>
  <c r="A759" i="14"/>
  <c r="B759" i="14"/>
  <c r="C759" i="14"/>
  <c r="D759" i="14"/>
  <c r="A760" i="14"/>
  <c r="D760" i="14"/>
  <c r="A761" i="14"/>
  <c r="B760" i="14"/>
  <c r="C760" i="14"/>
  <c r="B761" i="14"/>
  <c r="C761" i="14"/>
  <c r="A762" i="14"/>
  <c r="D761" i="14"/>
  <c r="B762" i="14"/>
  <c r="C762" i="14"/>
  <c r="A763" i="14"/>
  <c r="D762" i="14"/>
  <c r="B763" i="14"/>
  <c r="C763" i="14"/>
  <c r="A764" i="14"/>
  <c r="D763" i="14"/>
  <c r="A765" i="14"/>
  <c r="D764" i="14"/>
  <c r="B764" i="14"/>
  <c r="C764" i="14"/>
  <c r="A766" i="14"/>
  <c r="D765" i="14"/>
  <c r="B765" i="14"/>
  <c r="C765" i="14"/>
  <c r="D766" i="14"/>
  <c r="B766" i="14"/>
  <c r="C766" i="14"/>
  <c r="A767" i="14"/>
  <c r="A768" i="14"/>
  <c r="B767" i="14"/>
  <c r="C767" i="14"/>
  <c r="D767" i="14"/>
  <c r="D768" i="14"/>
  <c r="A769" i="14"/>
  <c r="B768" i="14"/>
  <c r="C768" i="14"/>
  <c r="A770" i="14"/>
  <c r="B769" i="14"/>
  <c r="C769" i="14"/>
  <c r="D769" i="14"/>
  <c r="B770" i="14"/>
  <c r="C770" i="14"/>
  <c r="A771" i="14"/>
  <c r="D770" i="14"/>
  <c r="B771" i="14"/>
  <c r="C771" i="14"/>
  <c r="D771" i="14"/>
  <c r="A772" i="14"/>
  <c r="D772" i="14"/>
  <c r="A773" i="14"/>
  <c r="B772" i="14"/>
  <c r="C772" i="14"/>
  <c r="B773" i="14"/>
  <c r="C773" i="14"/>
  <c r="A774" i="14"/>
  <c r="D773" i="14"/>
  <c r="B774" i="14"/>
  <c r="C774" i="14"/>
  <c r="A775" i="14"/>
  <c r="D774" i="14"/>
  <c r="B775" i="14"/>
  <c r="C775" i="14"/>
  <c r="D775" i="14"/>
  <c r="A776" i="14"/>
  <c r="A777" i="14"/>
  <c r="D776" i="14"/>
  <c r="B776" i="14"/>
  <c r="C776" i="14"/>
  <c r="A778" i="14"/>
  <c r="B777" i="14"/>
  <c r="C777" i="14"/>
  <c r="D777" i="14"/>
  <c r="D778" i="14"/>
  <c r="B778" i="14"/>
  <c r="C778" i="14"/>
  <c r="A779" i="14"/>
  <c r="A780" i="14"/>
  <c r="B779" i="14"/>
  <c r="C779" i="14"/>
  <c r="D779" i="14"/>
  <c r="D780" i="14"/>
  <c r="A781" i="14"/>
  <c r="B780" i="14"/>
  <c r="C780" i="14"/>
  <c r="A782" i="14"/>
  <c r="B781" i="14"/>
  <c r="C781" i="14"/>
  <c r="D781" i="14"/>
  <c r="B782" i="14"/>
  <c r="C782" i="14"/>
  <c r="A783" i="14"/>
  <c r="D782" i="14"/>
  <c r="B783" i="14"/>
  <c r="C783" i="14"/>
  <c r="D783" i="14"/>
  <c r="A784" i="14"/>
  <c r="D784" i="14"/>
  <c r="A785" i="14"/>
  <c r="B784" i="14"/>
  <c r="C784" i="14"/>
  <c r="B785" i="14"/>
  <c r="C785" i="14"/>
  <c r="D785" i="14"/>
  <c r="A786" i="14"/>
  <c r="D786" i="14"/>
  <c r="A787" i="14"/>
  <c r="B786" i="14"/>
  <c r="C786" i="14"/>
  <c r="B787" i="14"/>
  <c r="C787" i="14"/>
  <c r="D787" i="14"/>
  <c r="A788" i="14"/>
  <c r="A789" i="14"/>
  <c r="D788" i="14"/>
  <c r="B788" i="14"/>
  <c r="C788" i="14"/>
  <c r="A790" i="14"/>
  <c r="B789" i="14"/>
  <c r="C789" i="14"/>
  <c r="D789" i="14"/>
  <c r="B790" i="14"/>
  <c r="C790" i="14"/>
  <c r="A791" i="14"/>
  <c r="D790" i="14"/>
  <c r="A792" i="14"/>
  <c r="B791" i="14"/>
  <c r="C791" i="14"/>
  <c r="D791" i="14"/>
  <c r="D792" i="14"/>
  <c r="B792" i="14"/>
  <c r="C792" i="14"/>
  <c r="A793" i="14"/>
  <c r="B793" i="14"/>
  <c r="C793" i="14"/>
  <c r="D793" i="14"/>
  <c r="A794" i="14"/>
  <c r="A795" i="14"/>
  <c r="D794" i="14"/>
  <c r="B794" i="14"/>
  <c r="C794" i="14"/>
  <c r="B795" i="14"/>
  <c r="C795" i="14"/>
  <c r="A796" i="14"/>
  <c r="D795" i="14"/>
  <c r="D796" i="14"/>
  <c r="A797" i="14"/>
  <c r="B796" i="14"/>
  <c r="C796" i="14"/>
  <c r="D797" i="14"/>
  <c r="A798" i="14"/>
  <c r="B797" i="14"/>
  <c r="C797" i="14"/>
  <c r="B798" i="14"/>
  <c r="C798" i="14"/>
  <c r="A799" i="14"/>
  <c r="D798" i="14"/>
  <c r="B799" i="14"/>
  <c r="C799" i="14"/>
  <c r="D799" i="14"/>
  <c r="A800" i="14"/>
  <c r="B800" i="14"/>
  <c r="C800" i="14"/>
  <c r="D800" i="14"/>
  <c r="A801" i="14"/>
  <c r="A802" i="14"/>
  <c r="B801" i="14"/>
  <c r="C801" i="14"/>
  <c r="D801" i="14"/>
  <c r="B802" i="14"/>
  <c r="C802" i="14"/>
  <c r="A803" i="14"/>
  <c r="D802" i="14"/>
  <c r="B803" i="14"/>
  <c r="C803" i="14"/>
  <c r="A804" i="14"/>
  <c r="D803" i="14"/>
  <c r="D804" i="14"/>
  <c r="B804" i="14"/>
  <c r="C804" i="14"/>
  <c r="A805" i="14"/>
  <c r="D805" i="14"/>
  <c r="A806" i="14"/>
  <c r="B805" i="14"/>
  <c r="C805" i="14"/>
  <c r="B806" i="14"/>
  <c r="C806" i="14"/>
  <c r="D806" i="14"/>
  <c r="A807" i="14"/>
  <c r="B807" i="14"/>
  <c r="C807" i="14"/>
  <c r="A808" i="14"/>
  <c r="D807" i="14"/>
  <c r="D808" i="14"/>
  <c r="B808" i="14"/>
  <c r="C808" i="14"/>
  <c r="A809" i="14"/>
  <c r="A810" i="14"/>
  <c r="D809" i="14"/>
  <c r="B809" i="14"/>
  <c r="C809" i="14"/>
  <c r="B810" i="14"/>
  <c r="C810" i="14"/>
  <c r="A811" i="14"/>
  <c r="D810" i="14"/>
  <c r="D811" i="14"/>
  <c r="A812" i="14"/>
  <c r="B811" i="14"/>
  <c r="C811" i="14"/>
  <c r="D812" i="14"/>
  <c r="A813" i="14"/>
  <c r="B812" i="14"/>
  <c r="C812" i="14"/>
  <c r="D813" i="14"/>
  <c r="A814" i="14"/>
  <c r="B813" i="14"/>
  <c r="C813" i="14"/>
  <c r="B814" i="14"/>
  <c r="C814" i="14"/>
  <c r="A815" i="14"/>
  <c r="D814" i="14"/>
  <c r="A816" i="14"/>
  <c r="B815" i="14"/>
  <c r="C815" i="14"/>
  <c r="D815" i="14"/>
  <c r="B816" i="14"/>
  <c r="C816" i="14"/>
  <c r="A817" i="14"/>
  <c r="D816" i="14"/>
  <c r="D817" i="14"/>
  <c r="A818" i="14"/>
  <c r="B817" i="14"/>
  <c r="C817" i="14"/>
  <c r="A819" i="14"/>
  <c r="B818" i="14"/>
  <c r="C818" i="14"/>
  <c r="D818" i="14"/>
  <c r="A820" i="14"/>
  <c r="B819" i="14"/>
  <c r="C819" i="14"/>
  <c r="D819" i="14"/>
  <c r="B820" i="14"/>
  <c r="C820" i="14"/>
  <c r="D820" i="14"/>
  <c r="A821" i="14"/>
  <c r="D821" i="14"/>
  <c r="A822" i="14"/>
  <c r="B821" i="14"/>
  <c r="C821" i="14"/>
  <c r="B822" i="14"/>
  <c r="C822" i="14"/>
  <c r="A823" i="14"/>
  <c r="D822" i="14"/>
  <c r="D823" i="14"/>
  <c r="A824" i="14"/>
  <c r="B823" i="14"/>
  <c r="C823" i="14"/>
  <c r="B824" i="14"/>
  <c r="C824" i="14"/>
  <c r="D824" i="14"/>
  <c r="A825" i="14"/>
  <c r="D825" i="14"/>
  <c r="A826" i="14"/>
  <c r="B825" i="14"/>
  <c r="C825" i="14"/>
  <c r="B826" i="14"/>
  <c r="C826" i="14"/>
  <c r="A827" i="14"/>
  <c r="D826" i="14"/>
  <c r="B827" i="14"/>
  <c r="C827" i="14"/>
  <c r="D827" i="14"/>
  <c r="A828" i="14"/>
  <c r="D828" i="14"/>
  <c r="B828" i="14"/>
  <c r="C828" i="14"/>
  <c r="A829" i="14"/>
  <c r="D829" i="14"/>
  <c r="A830" i="14"/>
  <c r="B829" i="14"/>
  <c r="C829" i="14"/>
  <c r="D830" i="14"/>
  <c r="A831" i="14"/>
  <c r="B830" i="14"/>
  <c r="C830" i="14"/>
  <c r="B831" i="14"/>
  <c r="C831" i="14"/>
  <c r="A832" i="14"/>
  <c r="D831" i="14"/>
  <c r="B832" i="14"/>
  <c r="C832" i="14"/>
  <c r="A833" i="14"/>
  <c r="D832" i="14"/>
  <c r="A834" i="14"/>
  <c r="D833" i="14"/>
  <c r="B833" i="14"/>
  <c r="C833" i="14"/>
  <c r="B834" i="14"/>
  <c r="C834" i="14"/>
  <c r="A835" i="14"/>
  <c r="D834" i="14"/>
  <c r="A836" i="14"/>
  <c r="B835" i="14"/>
  <c r="C835" i="14"/>
  <c r="D835" i="14"/>
  <c r="B836" i="14"/>
  <c r="C836" i="14"/>
  <c r="A837" i="14"/>
  <c r="D836" i="14"/>
  <c r="D837" i="14"/>
  <c r="A838" i="14"/>
  <c r="B837" i="14"/>
  <c r="C837" i="14"/>
  <c r="A839" i="14"/>
  <c r="B838" i="14"/>
  <c r="C838" i="14"/>
  <c r="D838" i="14"/>
  <c r="B839" i="14"/>
  <c r="C839" i="14"/>
  <c r="D839" i="14"/>
  <c r="A840" i="14"/>
  <c r="A841" i="14"/>
  <c r="B840" i="14"/>
  <c r="C840" i="14"/>
  <c r="D840" i="14"/>
  <c r="B841" i="14"/>
  <c r="C841" i="14"/>
  <c r="D841" i="14"/>
  <c r="A842" i="14"/>
  <c r="B842" i="14"/>
  <c r="C842" i="14"/>
  <c r="D842" i="14"/>
  <c r="A843" i="14"/>
  <c r="A844" i="14"/>
  <c r="D843" i="14"/>
  <c r="B843" i="14"/>
  <c r="C843" i="14"/>
  <c r="D844" i="14"/>
  <c r="B844" i="14"/>
  <c r="C844" i="14"/>
  <c r="A845" i="14"/>
  <c r="D845" i="14"/>
  <c r="A846" i="14"/>
  <c r="B845" i="14"/>
  <c r="C845" i="14"/>
  <c r="D846" i="14"/>
  <c r="A847" i="14"/>
  <c r="B846" i="14"/>
  <c r="C846" i="14"/>
  <c r="B847" i="14"/>
  <c r="C847" i="14"/>
  <c r="D847" i="14"/>
  <c r="A848" i="14"/>
  <c r="D848" i="14"/>
  <c r="A849" i="14"/>
  <c r="B848" i="14"/>
  <c r="C848" i="14"/>
  <c r="B849" i="14"/>
  <c r="C849" i="14"/>
  <c r="D849" i="14"/>
  <c r="A850" i="14"/>
  <c r="A851" i="14"/>
  <c r="B850" i="14"/>
  <c r="C850" i="14"/>
  <c r="D850" i="14"/>
  <c r="D851" i="14"/>
  <c r="A852" i="14"/>
  <c r="B851" i="14"/>
  <c r="C851" i="14"/>
  <c r="D852" i="14"/>
  <c r="A853" i="14"/>
  <c r="B852" i="14"/>
  <c r="C852" i="14"/>
  <c r="B853" i="14"/>
  <c r="C853" i="14"/>
  <c r="D853" i="14"/>
  <c r="A854" i="14"/>
  <c r="B854" i="14"/>
  <c r="C854" i="14"/>
  <c r="D854" i="14"/>
  <c r="A855" i="14"/>
  <c r="A856" i="14"/>
  <c r="B855" i="14"/>
  <c r="C855" i="14"/>
  <c r="D855" i="14"/>
  <c r="D856" i="14"/>
  <c r="A857" i="14"/>
  <c r="B856" i="14"/>
  <c r="C856" i="14"/>
  <c r="D857" i="14"/>
  <c r="A858" i="14"/>
  <c r="B857" i="14"/>
  <c r="C857" i="14"/>
  <c r="A859" i="14"/>
  <c r="B858" i="14"/>
  <c r="C858" i="14"/>
  <c r="D858" i="14"/>
  <c r="D859" i="14"/>
  <c r="A860" i="14"/>
  <c r="B859" i="14"/>
  <c r="C859" i="14"/>
  <c r="B860" i="14"/>
  <c r="C860" i="14"/>
  <c r="A861" i="14"/>
  <c r="D860" i="14"/>
  <c r="B861" i="14"/>
  <c r="C861" i="14"/>
  <c r="D861" i="14"/>
  <c r="A862" i="14"/>
  <c r="B862" i="14"/>
  <c r="C862" i="14"/>
  <c r="A863" i="14"/>
  <c r="D862" i="14"/>
  <c r="D863" i="14"/>
  <c r="A864" i="14"/>
  <c r="B863" i="14"/>
  <c r="C863" i="14"/>
  <c r="A865" i="14"/>
  <c r="D864" i="14"/>
  <c r="B864" i="14"/>
  <c r="C864" i="14"/>
  <c r="D865" i="14"/>
  <c r="B865" i="14"/>
  <c r="C865" i="14"/>
  <c r="A866" i="14"/>
  <c r="B866" i="14"/>
  <c r="C866" i="14"/>
  <c r="D866" i="14"/>
  <c r="A867" i="14"/>
  <c r="A868" i="14"/>
  <c r="D867" i="14"/>
  <c r="B867" i="14"/>
  <c r="C867" i="14"/>
  <c r="B868" i="14"/>
  <c r="C868" i="14"/>
  <c r="A869" i="14"/>
  <c r="D868" i="14"/>
  <c r="B869" i="14"/>
  <c r="C869" i="14"/>
  <c r="A870" i="14"/>
  <c r="D869" i="14"/>
  <c r="D870" i="14"/>
  <c r="A871" i="14"/>
  <c r="B870" i="14"/>
  <c r="C870" i="14"/>
  <c r="D871" i="14"/>
  <c r="B871" i="14"/>
  <c r="C871" i="14"/>
  <c r="A872" i="14"/>
  <c r="B872" i="14"/>
  <c r="C872" i="14"/>
  <c r="D872" i="14"/>
  <c r="A873" i="14"/>
  <c r="A874" i="14"/>
  <c r="B873" i="14"/>
  <c r="C873" i="14"/>
  <c r="D873" i="14"/>
  <c r="B874" i="14"/>
  <c r="C874" i="14"/>
  <c r="A875" i="14"/>
  <c r="D874" i="14"/>
  <c r="D875" i="14"/>
  <c r="A876" i="14"/>
  <c r="B875" i="14"/>
  <c r="C875" i="14"/>
  <c r="D876" i="14"/>
  <c r="A877" i="14"/>
  <c r="B876" i="14"/>
  <c r="C876" i="14"/>
  <c r="B877" i="14"/>
  <c r="C877" i="14"/>
  <c r="D877" i="14"/>
  <c r="A878" i="14"/>
  <c r="B878" i="14"/>
  <c r="C878" i="14"/>
  <c r="D878" i="14"/>
  <c r="A879" i="14"/>
  <c r="A880" i="14"/>
  <c r="D879" i="14"/>
  <c r="B879" i="14"/>
  <c r="C879" i="14"/>
  <c r="A881" i="14"/>
  <c r="B880" i="14"/>
  <c r="C880" i="14"/>
  <c r="D880" i="14"/>
  <c r="D881" i="14"/>
  <c r="B881" i="14"/>
  <c r="C881" i="14"/>
  <c r="A882" i="14"/>
  <c r="A883" i="14"/>
  <c r="D882" i="14"/>
  <c r="B882" i="14"/>
  <c r="C882" i="14"/>
  <c r="B883" i="14"/>
  <c r="C883" i="14"/>
  <c r="A884" i="14"/>
  <c r="D883" i="14"/>
  <c r="D884" i="14"/>
  <c r="A885" i="14"/>
  <c r="B884" i="14"/>
  <c r="C884" i="14"/>
  <c r="B885" i="14"/>
  <c r="C885" i="14"/>
  <c r="D885" i="14"/>
  <c r="A886" i="14"/>
  <c r="D886" i="14"/>
  <c r="B886" i="14"/>
  <c r="C886" i="14"/>
  <c r="A887" i="14"/>
  <c r="A888" i="14"/>
  <c r="D887" i="14"/>
  <c r="B887" i="14"/>
  <c r="C887" i="14"/>
  <c r="B888" i="14"/>
  <c r="C888" i="14"/>
  <c r="A889" i="14"/>
  <c r="D888" i="14"/>
  <c r="D889" i="14"/>
  <c r="B889" i="14"/>
  <c r="C889" i="14"/>
  <c r="A890" i="14"/>
  <c r="A891" i="14"/>
  <c r="D890" i="14"/>
  <c r="B890" i="14"/>
  <c r="C890" i="14"/>
  <c r="D891" i="14"/>
  <c r="B891" i="14"/>
  <c r="C891" i="14"/>
  <c r="A892" i="14"/>
  <c r="D892" i="14"/>
  <c r="B892" i="14"/>
  <c r="C892" i="14"/>
  <c r="A893" i="14"/>
  <c r="D893" i="14"/>
  <c r="A894" i="14"/>
  <c r="B893" i="14"/>
  <c r="C893" i="14"/>
  <c r="D894" i="14"/>
  <c r="B894" i="14"/>
  <c r="C894" i="14"/>
  <c r="A895" i="14"/>
  <c r="B895" i="14"/>
  <c r="C895" i="14"/>
  <c r="A896" i="14"/>
  <c r="D895" i="14"/>
  <c r="D896" i="14"/>
  <c r="A897" i="14"/>
  <c r="B896" i="14"/>
  <c r="C896" i="14"/>
  <c r="B897" i="14"/>
  <c r="C897" i="14"/>
  <c r="D897" i="14"/>
  <c r="A898" i="14"/>
  <c r="B898" i="14"/>
  <c r="C898" i="14"/>
  <c r="A899" i="14"/>
  <c r="D898" i="14"/>
  <c r="A900" i="14"/>
  <c r="B899" i="14"/>
  <c r="C899" i="14"/>
  <c r="D899" i="14"/>
  <c r="B900" i="14"/>
  <c r="C900" i="14"/>
  <c r="D900" i="14"/>
  <c r="A901" i="14"/>
  <c r="B901" i="14"/>
  <c r="C901" i="14"/>
  <c r="D901" i="14"/>
  <c r="A902" i="14"/>
  <c r="A903" i="14"/>
  <c r="B902" i="14"/>
  <c r="C902" i="14"/>
  <c r="D902" i="14"/>
  <c r="D903" i="14"/>
  <c r="B903" i="14"/>
  <c r="C903" i="14"/>
  <c r="A904" i="14"/>
  <c r="A905" i="14"/>
  <c r="B904" i="14"/>
  <c r="C904" i="14"/>
  <c r="D904" i="14"/>
  <c r="B905" i="14"/>
  <c r="C905" i="14"/>
  <c r="D905" i="14"/>
  <c r="A906" i="14"/>
  <c r="D906" i="14"/>
  <c r="A907" i="14"/>
  <c r="B906" i="14"/>
  <c r="C906" i="14"/>
  <c r="A908" i="14"/>
  <c r="D907" i="14"/>
  <c r="B907" i="14"/>
  <c r="C907" i="14"/>
  <c r="A909" i="14"/>
  <c r="B908" i="14"/>
  <c r="C908" i="14"/>
  <c r="D908" i="14"/>
  <c r="B909" i="14"/>
  <c r="C909" i="14"/>
  <c r="D909" i="14"/>
  <c r="A910" i="14"/>
  <c r="D910" i="14"/>
  <c r="A911" i="14"/>
  <c r="B910" i="14"/>
  <c r="C910" i="14"/>
  <c r="A912" i="14"/>
  <c r="D911" i="14"/>
  <c r="B911" i="14"/>
  <c r="C911" i="14"/>
  <c r="B912" i="14"/>
  <c r="C912" i="14"/>
  <c r="D912" i="14"/>
  <c r="A913" i="14"/>
  <c r="B913" i="14"/>
  <c r="C913" i="14"/>
  <c r="D913" i="14"/>
  <c r="A914" i="14"/>
  <c r="A915" i="14"/>
  <c r="B914" i="14"/>
  <c r="C914" i="14"/>
  <c r="D914" i="14"/>
  <c r="D915" i="14"/>
  <c r="A916" i="14"/>
  <c r="B915" i="14"/>
  <c r="C915" i="14"/>
  <c r="B916" i="14"/>
  <c r="C916" i="14"/>
  <c r="A917" i="14"/>
  <c r="D916" i="14"/>
  <c r="D917" i="14"/>
  <c r="B917" i="14"/>
  <c r="C917" i="14"/>
  <c r="A918" i="14"/>
  <c r="B918" i="14"/>
  <c r="C918" i="14"/>
  <c r="A919" i="14"/>
  <c r="D918" i="14"/>
  <c r="A920" i="14"/>
  <c r="B919" i="14"/>
  <c r="C919" i="14"/>
  <c r="D919" i="14"/>
  <c r="D920" i="14"/>
  <c r="A921" i="14"/>
  <c r="B920" i="14"/>
  <c r="C920" i="14"/>
  <c r="A922" i="14"/>
  <c r="D921" i="14"/>
  <c r="B921" i="14"/>
  <c r="C921" i="14"/>
  <c r="A923" i="14"/>
  <c r="D922" i="14"/>
  <c r="B922" i="14"/>
  <c r="C922" i="14"/>
  <c r="D923" i="14"/>
  <c r="B923" i="14"/>
  <c r="C923" i="14"/>
  <c r="A924" i="14"/>
  <c r="B924" i="14"/>
  <c r="C924" i="14"/>
  <c r="D924" i="14"/>
  <c r="A925" i="14"/>
  <c r="D925" i="14"/>
  <c r="B925" i="14"/>
  <c r="C925" i="14"/>
  <c r="A926" i="14"/>
  <c r="D926" i="14"/>
  <c r="B926" i="14"/>
  <c r="C926" i="14"/>
  <c r="A927" i="14"/>
  <c r="D927" i="14"/>
  <c r="B927" i="14"/>
  <c r="C927" i="14"/>
  <c r="A928" i="14"/>
  <c r="A929" i="14"/>
  <c r="D928" i="14"/>
  <c r="B928" i="14"/>
  <c r="C928" i="14"/>
  <c r="B929" i="14"/>
  <c r="C929" i="14"/>
  <c r="D929" i="14"/>
  <c r="A930" i="14"/>
  <c r="D930" i="14"/>
  <c r="A931" i="14"/>
  <c r="B930" i="14"/>
  <c r="C930" i="14"/>
  <c r="A932" i="14"/>
  <c r="D931" i="14"/>
  <c r="B931" i="14"/>
  <c r="C931" i="14"/>
  <c r="B932" i="14"/>
  <c r="C932" i="14"/>
  <c r="D932" i="14"/>
  <c r="A933" i="14"/>
  <c r="B933" i="14"/>
  <c r="C933" i="14"/>
  <c r="D933" i="14"/>
  <c r="A934" i="14"/>
  <c r="B934" i="14"/>
  <c r="C934" i="14"/>
  <c r="A935" i="14"/>
  <c r="D934" i="14"/>
  <c r="A936" i="14"/>
  <c r="D935" i="14"/>
  <c r="B935" i="14"/>
  <c r="C935" i="14"/>
  <c r="B936" i="14"/>
  <c r="C936" i="14"/>
  <c r="A937" i="14"/>
  <c r="D936" i="14"/>
  <c r="B937" i="14"/>
  <c r="C937" i="14"/>
  <c r="A938" i="14"/>
  <c r="D937" i="14"/>
  <c r="D938" i="14"/>
  <c r="B938" i="14"/>
  <c r="C938" i="14"/>
  <c r="A939" i="14"/>
  <c r="B939" i="14"/>
  <c r="C939" i="14"/>
  <c r="D939" i="14"/>
  <c r="A940" i="14"/>
  <c r="A941" i="14"/>
  <c r="D940" i="14"/>
  <c r="B940" i="14"/>
  <c r="C940" i="14"/>
  <c r="B941" i="14"/>
  <c r="C941" i="14"/>
  <c r="A942" i="14"/>
  <c r="D941" i="14"/>
  <c r="D942" i="14"/>
  <c r="A943" i="14"/>
  <c r="B942" i="14"/>
  <c r="C942" i="14"/>
  <c r="B943" i="14"/>
  <c r="C943" i="14"/>
  <c r="A944" i="14"/>
  <c r="D943" i="14"/>
  <c r="D944" i="14"/>
  <c r="A945" i="14"/>
  <c r="B944" i="14"/>
  <c r="C944" i="14"/>
  <c r="D945" i="14"/>
  <c r="B945" i="14"/>
  <c r="C945" i="14"/>
  <c r="A946" i="14"/>
  <c r="D946" i="14"/>
  <c r="A947" i="14"/>
  <c r="B946" i="14"/>
  <c r="C946" i="14"/>
  <c r="D947" i="14"/>
  <c r="A948" i="14"/>
  <c r="B947" i="14"/>
  <c r="C947" i="14"/>
  <c r="D948" i="14"/>
  <c r="B948" i="14"/>
  <c r="C948" i="14"/>
  <c r="A949" i="14"/>
  <c r="B949" i="14"/>
  <c r="C949" i="14"/>
  <c r="D949" i="14"/>
  <c r="A950" i="14"/>
  <c r="A951" i="14"/>
  <c r="D950" i="14"/>
  <c r="B950" i="14"/>
  <c r="C950" i="14"/>
  <c r="A952" i="14"/>
  <c r="B951" i="14"/>
  <c r="C951" i="14"/>
  <c r="D951" i="14"/>
  <c r="D952" i="14"/>
  <c r="B952" i="14"/>
  <c r="C952" i="14"/>
  <c r="A953" i="14"/>
  <c r="D953" i="14"/>
  <c r="B953" i="14"/>
  <c r="C953" i="14"/>
  <c r="A954" i="14"/>
  <c r="B954" i="14"/>
  <c r="C954" i="14"/>
  <c r="A955" i="14"/>
  <c r="D954" i="14"/>
  <c r="A956" i="14"/>
  <c r="B955" i="14"/>
  <c r="C955" i="14"/>
  <c r="D955" i="14"/>
  <c r="D956" i="14"/>
  <c r="A957" i="14"/>
  <c r="B956" i="14"/>
  <c r="C956" i="14"/>
  <c r="A958" i="14"/>
  <c r="B957" i="14"/>
  <c r="C957" i="14"/>
  <c r="D957" i="14"/>
  <c r="D958" i="14"/>
  <c r="B958" i="14"/>
  <c r="C958" i="14"/>
  <c r="A959" i="14"/>
  <c r="B959" i="14"/>
  <c r="C959" i="14"/>
  <c r="D959" i="14"/>
  <c r="A960" i="14"/>
  <c r="D960" i="14"/>
  <c r="A961" i="14"/>
  <c r="B960" i="14"/>
  <c r="C960" i="14"/>
  <c r="D961" i="14"/>
  <c r="B961" i="14"/>
  <c r="C961" i="14"/>
  <c r="A962" i="14"/>
  <c r="D962" i="14"/>
  <c r="B962" i="14"/>
  <c r="C962" i="14"/>
  <c r="A963" i="14"/>
  <c r="B963" i="14"/>
  <c r="C963" i="14"/>
  <c r="D963" i="14"/>
  <c r="A964" i="14"/>
  <c r="D964" i="14"/>
  <c r="B964" i="14"/>
  <c r="C964" i="14"/>
  <c r="A965" i="14"/>
  <c r="D965" i="14"/>
  <c r="A966" i="14"/>
  <c r="B965" i="14"/>
  <c r="C965" i="14"/>
  <c r="D966" i="14"/>
  <c r="B966" i="14"/>
  <c r="C966" i="14"/>
  <c r="A967" i="14"/>
  <c r="B967" i="14"/>
  <c r="C967" i="14"/>
  <c r="D967" i="14"/>
  <c r="A968" i="14"/>
  <c r="A969" i="14"/>
  <c r="B968" i="14"/>
  <c r="C968" i="14"/>
  <c r="D968" i="14"/>
  <c r="D969" i="14"/>
  <c r="B969" i="14"/>
  <c r="C969" i="14"/>
  <c r="A970" i="14"/>
  <c r="A971" i="14"/>
  <c r="B970" i="14"/>
  <c r="C970" i="14"/>
  <c r="D970" i="14"/>
  <c r="A972" i="14"/>
  <c r="B971" i="14"/>
  <c r="C971" i="14"/>
  <c r="D971" i="14"/>
  <c r="B972" i="14"/>
  <c r="C972" i="14"/>
  <c r="A973" i="14"/>
  <c r="D972" i="14"/>
  <c r="D973" i="14"/>
  <c r="B973" i="14"/>
  <c r="C973" i="14"/>
  <c r="A974" i="14"/>
  <c r="D974" i="14"/>
  <c r="B974" i="14"/>
  <c r="C974" i="14"/>
  <c r="A975" i="14"/>
  <c r="A976" i="14"/>
  <c r="B975" i="14"/>
  <c r="C975" i="14"/>
  <c r="D975" i="14"/>
  <c r="D976" i="14"/>
  <c r="B976" i="14"/>
  <c r="C976" i="14"/>
  <c r="A977" i="14"/>
  <c r="B977" i="14"/>
  <c r="C977" i="14"/>
  <c r="A978" i="14"/>
  <c r="D977" i="14"/>
  <c r="D978" i="14"/>
  <c r="A979" i="14"/>
  <c r="B978" i="14"/>
  <c r="C978" i="14"/>
  <c r="A980" i="14"/>
  <c r="D979" i="14"/>
  <c r="B979" i="14"/>
  <c r="C979" i="14"/>
  <c r="A981" i="14"/>
  <c r="D980" i="14"/>
  <c r="B980" i="14"/>
  <c r="C980" i="14"/>
  <c r="D981" i="14"/>
  <c r="B981" i="14"/>
  <c r="C981" i="14"/>
  <c r="A982" i="14"/>
  <c r="D982" i="14"/>
  <c r="A983" i="14"/>
  <c r="B982" i="14"/>
  <c r="C982" i="14"/>
  <c r="D983" i="14"/>
  <c r="A984" i="14"/>
  <c r="B983" i="14"/>
  <c r="C983" i="14"/>
  <c r="A985" i="14"/>
  <c r="B984" i="14"/>
  <c r="C984" i="14"/>
  <c r="D984" i="14"/>
  <c r="B985" i="14"/>
  <c r="C985" i="14"/>
  <c r="D985" i="14"/>
  <c r="A986" i="14"/>
  <c r="D986" i="14"/>
  <c r="B986" i="14"/>
  <c r="C986" i="14"/>
  <c r="A987" i="14"/>
  <c r="A988" i="14"/>
  <c r="B987" i="14"/>
  <c r="C987" i="14"/>
  <c r="D987" i="14"/>
  <c r="A989" i="14"/>
  <c r="B988" i="14"/>
  <c r="C988" i="14"/>
  <c r="D988" i="14"/>
  <c r="A990" i="14"/>
  <c r="D989" i="14"/>
  <c r="B989" i="14"/>
  <c r="C989" i="14"/>
  <c r="B990" i="14"/>
  <c r="C990" i="14"/>
  <c r="A991" i="14"/>
  <c r="D990" i="14"/>
  <c r="A992" i="14"/>
  <c r="D991" i="14"/>
  <c r="B991" i="14"/>
  <c r="C991" i="14"/>
  <c r="A993" i="14"/>
  <c r="B992" i="14"/>
  <c r="C992" i="14"/>
  <c r="D992" i="14"/>
  <c r="A994" i="14"/>
  <c r="B993" i="14"/>
  <c r="C993" i="14"/>
  <c r="D993" i="14"/>
  <c r="D994" i="14"/>
  <c r="B994" i="14"/>
  <c r="C994" i="14"/>
  <c r="A995" i="14"/>
  <c r="B995" i="14"/>
  <c r="C995" i="14"/>
  <c r="D995" i="14"/>
  <c r="A996" i="14"/>
  <c r="A997" i="14"/>
  <c r="D996" i="14"/>
  <c r="B996" i="14"/>
  <c r="C996" i="14"/>
  <c r="D997" i="14"/>
  <c r="B997" i="14"/>
  <c r="C997" i="14"/>
  <c r="A998" i="14"/>
  <c r="D998" i="14"/>
  <c r="B998" i="14"/>
  <c r="C998" i="14"/>
  <c r="A999" i="14"/>
  <c r="B999" i="14"/>
  <c r="C999" i="14"/>
  <c r="A1000" i="14"/>
  <c r="D999" i="14"/>
  <c r="A1001" i="14"/>
  <c r="B1000" i="14"/>
  <c r="C1000" i="14"/>
  <c r="D1000" i="14"/>
  <c r="D1001" i="14"/>
  <c r="A1002" i="14"/>
  <c r="B1001" i="14"/>
  <c r="C1001" i="14"/>
  <c r="A1003" i="14"/>
  <c r="D1002" i="14"/>
  <c r="B1002" i="14"/>
  <c r="C1002" i="14"/>
  <c r="B1003" i="14"/>
  <c r="C1003" i="14"/>
  <c r="D1003" i="14"/>
  <c r="A1004" i="14"/>
  <c r="D1004" i="14"/>
  <c r="B1004" i="14"/>
  <c r="C1004" i="14"/>
  <c r="A1005" i="14"/>
  <c r="D1005" i="14"/>
  <c r="B1005" i="14"/>
  <c r="C1005" i="14"/>
  <c r="A1006" i="14"/>
  <c r="A1007" i="14"/>
  <c r="B1006" i="14"/>
  <c r="C1006" i="14"/>
  <c r="D1006" i="14"/>
  <c r="A1008" i="14"/>
  <c r="B1007" i="14"/>
  <c r="C1007" i="14"/>
  <c r="D1007" i="14"/>
  <c r="B1008" i="14"/>
  <c r="C1008" i="14"/>
  <c r="D1008" i="14"/>
  <c r="A1009" i="14"/>
  <c r="D1009" i="14"/>
  <c r="A1010" i="14"/>
  <c r="B1009" i="14"/>
  <c r="C1009" i="14"/>
  <c r="D1010" i="14"/>
  <c r="B1010" i="14"/>
  <c r="C1010" i="14"/>
  <c r="A1011" i="14"/>
  <c r="A1012" i="14"/>
  <c r="B1011" i="14"/>
  <c r="C1011" i="14"/>
  <c r="D1011" i="14"/>
  <c r="D1012" i="14"/>
  <c r="B1012" i="14"/>
  <c r="C1012" i="14"/>
  <c r="A1013" i="14"/>
  <c r="D1013" i="14"/>
  <c r="B1013" i="14"/>
  <c r="C1013" i="14"/>
  <c r="C1014" i="14"/>
  <c r="D1014" i="14"/>
  <c r="K4" i="14"/>
  <c r="K5" i="14"/>
  <c r="M4" i="14"/>
  <c r="L4" i="14"/>
  <c r="L5" i="14"/>
  <c r="L6" i="14"/>
  <c r="K6" i="14"/>
  <c r="M6" i="14"/>
  <c r="M5" i="14"/>
  <c r="J9" i="14"/>
  <c r="F320" i="14"/>
  <c r="F891" i="14"/>
  <c r="F39" i="14"/>
  <c r="F614" i="14"/>
  <c r="F307" i="14"/>
  <c r="F960" i="14"/>
  <c r="F781" i="14"/>
  <c r="F61" i="14"/>
  <c r="F722" i="14"/>
  <c r="F575" i="14"/>
  <c r="F273" i="14"/>
  <c r="F861" i="14"/>
  <c r="F832" i="14"/>
  <c r="F685" i="14"/>
  <c r="F418" i="14"/>
  <c r="F463" i="14"/>
  <c r="F168" i="14"/>
  <c r="F188" i="14"/>
  <c r="F278" i="14"/>
  <c r="F366" i="14"/>
  <c r="F75" i="14"/>
  <c r="F844" i="14"/>
  <c r="F691" i="14"/>
  <c r="F522" i="14"/>
  <c r="F266" i="14"/>
  <c r="F223" i="14"/>
  <c r="F982" i="14"/>
  <c r="F408" i="14"/>
  <c r="F38" i="14"/>
  <c r="F825" i="14"/>
  <c r="F242" i="14"/>
  <c r="F532" i="14"/>
  <c r="F286" i="14"/>
  <c r="F256" i="14"/>
  <c r="F346" i="14"/>
  <c r="F209" i="14"/>
  <c r="F243" i="14"/>
  <c r="F54" i="14"/>
  <c r="F56" i="14"/>
  <c r="F813" i="14"/>
  <c r="F764" i="14"/>
  <c r="F553" i="14"/>
  <c r="F442" i="14"/>
  <c r="F106" i="14"/>
  <c r="F143" i="14"/>
  <c r="F822" i="14"/>
  <c r="F195" i="14"/>
  <c r="F904" i="14"/>
  <c r="F695" i="14"/>
  <c r="F734" i="14"/>
  <c r="F164" i="14"/>
  <c r="F741" i="14"/>
  <c r="F109" i="14"/>
  <c r="F962" i="14"/>
  <c r="F151" i="14"/>
  <c r="F371" i="14"/>
  <c r="F125" i="14"/>
  <c r="F786" i="14"/>
  <c r="F639" i="14"/>
  <c r="F104" i="14"/>
  <c r="F51" i="14"/>
  <c r="F896" i="14"/>
  <c r="F911" i="14"/>
  <c r="F498" i="14"/>
  <c r="F543" i="14"/>
  <c r="F422" i="14"/>
  <c r="F348" i="14"/>
  <c r="F397" i="14"/>
  <c r="F494" i="14"/>
  <c r="F203" i="14"/>
  <c r="F908" i="14"/>
  <c r="F935" i="14"/>
  <c r="F586" i="14"/>
  <c r="F375" i="14"/>
  <c r="F287" i="14"/>
  <c r="F899" i="14"/>
  <c r="F472" i="14"/>
  <c r="F166" i="14"/>
  <c r="F41" i="14"/>
  <c r="F427" i="14"/>
  <c r="F596" i="14"/>
  <c r="F385" i="14"/>
  <c r="F386" i="14"/>
  <c r="F431" i="14"/>
  <c r="F40" i="14"/>
  <c r="F108" i="14"/>
  <c r="F214" i="14"/>
  <c r="F312" i="14"/>
  <c r="F43" i="14"/>
  <c r="F828" i="14"/>
  <c r="F657" i="14"/>
  <c r="F506" i="14"/>
  <c r="F234" i="14"/>
  <c r="F207" i="14"/>
  <c r="F950" i="14"/>
  <c r="F323" i="14"/>
  <c r="F968" i="14"/>
  <c r="F799" i="14"/>
  <c r="F862" i="14"/>
  <c r="F292" i="14"/>
  <c r="F863" i="14"/>
  <c r="F205" i="14"/>
  <c r="F797" i="14"/>
  <c r="F247" i="14"/>
  <c r="F563" i="14"/>
  <c r="F912" i="14"/>
  <c r="F789" i="14"/>
  <c r="F338" i="14"/>
  <c r="F556" i="14"/>
  <c r="F334" i="14"/>
  <c r="F112" i="14"/>
  <c r="F1002" i="14"/>
  <c r="F869" i="14"/>
  <c r="F406" i="14"/>
  <c r="F189" i="14"/>
  <c r="F850" i="14"/>
  <c r="F705" i="14"/>
  <c r="F358" i="14"/>
  <c r="F179" i="14"/>
  <c r="F733" i="14"/>
  <c r="F609" i="14"/>
  <c r="F578" i="14"/>
  <c r="F623" i="14"/>
  <c r="F582" i="14"/>
  <c r="F432" i="14"/>
  <c r="F477" i="14"/>
  <c r="F622" i="14"/>
  <c r="F331" i="14"/>
  <c r="F972" i="14"/>
  <c r="F53" i="14"/>
  <c r="F650" i="14"/>
  <c r="F439" i="14"/>
  <c r="F351" i="14"/>
  <c r="F162" i="14"/>
  <c r="F536" i="14"/>
  <c r="F294" i="14"/>
  <c r="F169" i="14"/>
  <c r="F555" i="14"/>
  <c r="F660" i="14"/>
  <c r="F449" i="14"/>
  <c r="F482" i="14"/>
  <c r="F527" i="14"/>
  <c r="F390" i="14"/>
  <c r="F316" i="14"/>
  <c r="F381" i="14"/>
  <c r="F462" i="14"/>
  <c r="F171" i="14"/>
  <c r="F892" i="14"/>
  <c r="F889" i="14"/>
  <c r="F570" i="14"/>
  <c r="F359" i="14"/>
  <c r="F271" i="14"/>
  <c r="F835" i="14"/>
  <c r="F172" i="14"/>
  <c r="F749" i="14"/>
  <c r="F927" i="14"/>
  <c r="F990" i="14"/>
  <c r="F388" i="14"/>
  <c r="F995" i="14"/>
  <c r="F285" i="14"/>
  <c r="F957" i="14"/>
  <c r="F327" i="14"/>
  <c r="F727" i="14"/>
  <c r="F992" i="14"/>
  <c r="F57" i="14"/>
  <c r="F475" i="14"/>
  <c r="F620" i="14"/>
  <c r="F409" i="14"/>
  <c r="F240" i="14"/>
  <c r="F811" i="14"/>
  <c r="F993" i="14"/>
  <c r="F534" i="14"/>
  <c r="F64" i="14"/>
  <c r="F767" i="14"/>
  <c r="F103" i="14"/>
  <c r="F870" i="14"/>
  <c r="F384" i="14"/>
  <c r="F118" i="14"/>
  <c r="F121" i="14"/>
  <c r="F834" i="14"/>
  <c r="F23" i="14"/>
  <c r="F867" i="14"/>
  <c r="F688" i="14"/>
  <c r="F747" i="14"/>
  <c r="F1006" i="14"/>
  <c r="F396" i="14"/>
  <c r="F1011" i="14"/>
  <c r="F245" i="14"/>
  <c r="F842" i="14"/>
  <c r="F631" i="14"/>
  <c r="F257" i="14"/>
  <c r="F643" i="14"/>
  <c r="F728" i="14"/>
  <c r="F517" i="14"/>
  <c r="F382" i="14"/>
  <c r="F91" i="14"/>
  <c r="F852" i="14"/>
  <c r="F707" i="14"/>
  <c r="F738" i="14"/>
  <c r="F853" i="14"/>
  <c r="F902" i="14"/>
  <c r="F592" i="14"/>
  <c r="F637" i="14"/>
  <c r="F846" i="14"/>
  <c r="F276" i="14"/>
  <c r="F847" i="14"/>
  <c r="F165" i="14"/>
  <c r="F762" i="14"/>
  <c r="F551" i="14"/>
  <c r="F97" i="14"/>
  <c r="F483" i="14"/>
  <c r="F456" i="14"/>
  <c r="F134" i="14"/>
  <c r="F997" i="14"/>
  <c r="F395" i="14"/>
  <c r="F580" i="14"/>
  <c r="F369" i="14"/>
  <c r="F370" i="14"/>
  <c r="F415" i="14"/>
  <c r="F337" i="14"/>
  <c r="F44" i="14"/>
  <c r="F182" i="14"/>
  <c r="F248" i="14"/>
  <c r="F1001" i="14"/>
  <c r="F812" i="14"/>
  <c r="F617" i="14"/>
  <c r="F490" i="14"/>
  <c r="F202" i="14"/>
  <c r="F191" i="14"/>
  <c r="F918" i="14"/>
  <c r="F268" i="14"/>
  <c r="F839" i="14"/>
  <c r="F585" i="14"/>
  <c r="F851" i="14"/>
  <c r="F436" i="14"/>
  <c r="F94" i="14"/>
  <c r="F349" i="14"/>
  <c r="F90" i="14"/>
  <c r="F84" i="14"/>
  <c r="F985" i="14"/>
  <c r="F793" i="14"/>
  <c r="F185" i="14"/>
  <c r="F571" i="14"/>
  <c r="F668" i="14"/>
  <c r="F457" i="14"/>
  <c r="F336" i="14"/>
  <c r="F909" i="14"/>
  <c r="F47" i="14"/>
  <c r="F630" i="14"/>
  <c r="F76" i="14"/>
  <c r="F1000" i="14"/>
  <c r="F865" i="14"/>
  <c r="F926" i="14"/>
  <c r="F356" i="14"/>
  <c r="F929" i="14"/>
  <c r="F530" i="14"/>
  <c r="F947" i="14"/>
  <c r="F403" i="14"/>
  <c r="F987" i="14"/>
  <c r="F333" i="14"/>
  <c r="F885" i="14"/>
  <c r="F923" i="14"/>
  <c r="F653" i="14"/>
  <c r="F539" i="14"/>
  <c r="F879" i="14"/>
  <c r="F304" i="14"/>
  <c r="F567" i="14"/>
  <c r="F598" i="14"/>
  <c r="F664" i="14"/>
  <c r="F833" i="14"/>
  <c r="F907" i="14"/>
  <c r="F895" i="14"/>
  <c r="F642" i="14"/>
  <c r="F263" i="14"/>
  <c r="F496" i="14"/>
  <c r="F841" i="14"/>
  <c r="F148" i="14"/>
  <c r="F361" i="14"/>
  <c r="F698" i="14"/>
  <c r="F901" i="14"/>
  <c r="F354" i="14"/>
  <c r="F712" i="14"/>
  <c r="F773" i="14"/>
  <c r="F59" i="14"/>
  <c r="F254" i="14"/>
  <c r="F706" i="14"/>
  <c r="F177" i="14"/>
  <c r="F560" i="14"/>
  <c r="F1005" i="14"/>
  <c r="F139" i="14"/>
  <c r="F815" i="14"/>
  <c r="F341" i="14"/>
  <c r="F330" i="14"/>
  <c r="F65" i="14"/>
  <c r="F955" i="14"/>
  <c r="F824" i="14"/>
  <c r="F677" i="14"/>
  <c r="F830" i="14"/>
  <c r="F372" i="14"/>
  <c r="F222" i="14"/>
  <c r="F352" i="14"/>
  <c r="F479" i="14"/>
  <c r="F454" i="14"/>
  <c r="F464" i="14"/>
  <c r="F589" i="14"/>
  <c r="F910" i="14"/>
  <c r="F412" i="14"/>
  <c r="F174" i="14"/>
  <c r="F80" i="14"/>
  <c r="F783" i="14"/>
  <c r="F111" i="14"/>
  <c r="F886" i="14"/>
  <c r="F424" i="14"/>
  <c r="F198" i="14"/>
  <c r="F201" i="14"/>
  <c r="F717" i="14"/>
  <c r="F804" i="14"/>
  <c r="F757" i="14"/>
  <c r="F594" i="14"/>
  <c r="F167" i="14"/>
  <c r="F531" i="14"/>
  <c r="F246" i="14"/>
  <c r="F128" i="14"/>
  <c r="F119" i="14"/>
  <c r="F115" i="14"/>
  <c r="F943" i="14"/>
  <c r="F667" i="14"/>
  <c r="F142" i="14"/>
  <c r="F394" i="14"/>
  <c r="F697" i="14"/>
  <c r="F726" i="14"/>
  <c r="F792" i="14"/>
  <c r="F959" i="14"/>
  <c r="F219" i="14"/>
  <c r="F30" i="14"/>
  <c r="F818" i="14"/>
  <c r="F343" i="14"/>
  <c r="F672" i="14"/>
  <c r="F89" i="14"/>
  <c r="F380" i="14"/>
  <c r="F425" i="14"/>
  <c r="F826" i="14"/>
  <c r="F15" i="14"/>
  <c r="F611" i="14"/>
  <c r="F776" i="14"/>
  <c r="F137" i="14"/>
  <c r="F187" i="14"/>
  <c r="F433" i="14"/>
  <c r="F802" i="14"/>
  <c r="F296" i="14"/>
  <c r="F656" i="14"/>
  <c r="F217" i="14"/>
  <c r="F267" i="14"/>
  <c r="F945" i="14"/>
  <c r="F362" i="14"/>
  <c r="F407" i="14"/>
  <c r="F193" i="14"/>
  <c r="F35" i="14"/>
  <c r="F888" i="14"/>
  <c r="F765" i="14"/>
  <c r="F958" i="14"/>
  <c r="F500" i="14"/>
  <c r="F350" i="14"/>
  <c r="F434" i="14"/>
  <c r="F559" i="14"/>
  <c r="F646" i="14"/>
  <c r="F544" i="14"/>
  <c r="F669" i="14"/>
  <c r="F759" i="14"/>
  <c r="F476" i="14"/>
  <c r="F302" i="14"/>
  <c r="F208" i="14"/>
  <c r="F42" i="14"/>
  <c r="F175" i="14"/>
  <c r="F13" i="14"/>
  <c r="F488" i="14"/>
  <c r="F326" i="14"/>
  <c r="F329" i="14"/>
  <c r="F971" i="14"/>
  <c r="F868" i="14"/>
  <c r="F658" i="14"/>
  <c r="F231" i="14"/>
  <c r="F659" i="14"/>
  <c r="F365" i="14"/>
  <c r="F288" i="14"/>
  <c r="F199" i="14"/>
  <c r="F275" i="14"/>
  <c r="F665" i="14"/>
  <c r="F877" i="14"/>
  <c r="F270" i="14"/>
  <c r="F458" i="14"/>
  <c r="F803" i="14"/>
  <c r="F854" i="14"/>
  <c r="F856" i="14"/>
  <c r="F649" i="14"/>
  <c r="F347" i="14"/>
  <c r="F158" i="14"/>
  <c r="F898" i="14"/>
  <c r="F49" i="14"/>
  <c r="F752" i="14"/>
  <c r="F249" i="14"/>
  <c r="F444" i="14"/>
  <c r="F489" i="14"/>
  <c r="F890" i="14"/>
  <c r="F79" i="14"/>
  <c r="F761" i="14"/>
  <c r="F840" i="14"/>
  <c r="F265" i="14"/>
  <c r="F315" i="14"/>
  <c r="F497" i="14"/>
  <c r="F882" i="14"/>
  <c r="F518" i="14"/>
  <c r="F736" i="14"/>
  <c r="F345" i="14"/>
  <c r="F92" i="14"/>
  <c r="F78" i="14"/>
  <c r="F426" i="14"/>
  <c r="F471" i="14"/>
  <c r="F321" i="14"/>
  <c r="F163" i="14"/>
  <c r="F952" i="14"/>
  <c r="F897" i="14"/>
  <c r="F114" i="14"/>
  <c r="F564" i="14"/>
  <c r="F417" i="14"/>
  <c r="F514" i="14"/>
  <c r="F655" i="14"/>
  <c r="F806" i="14"/>
  <c r="F624" i="14"/>
  <c r="F817" i="14"/>
  <c r="F18" i="14"/>
  <c r="F540" i="14"/>
  <c r="F393" i="14"/>
  <c r="F410" i="14"/>
  <c r="F170" i="14"/>
  <c r="F239" i="14"/>
  <c r="F965" i="14"/>
  <c r="F552" i="14"/>
  <c r="F405" i="14"/>
  <c r="F216" i="14"/>
  <c r="F123" i="14"/>
  <c r="F932" i="14"/>
  <c r="F26" i="14"/>
  <c r="F17" i="14"/>
  <c r="F448" i="14"/>
  <c r="F557" i="14"/>
  <c r="F930" i="14"/>
  <c r="F81" i="14"/>
  <c r="F784" i="14"/>
  <c r="F281" i="14"/>
  <c r="F460" i="14"/>
  <c r="F505" i="14"/>
  <c r="F906" i="14"/>
  <c r="F95" i="14"/>
  <c r="F829" i="14"/>
  <c r="F779" i="14"/>
  <c r="F510" i="14"/>
  <c r="F404" i="14"/>
  <c r="F981" i="14"/>
  <c r="F991" i="14"/>
  <c r="F805" i="14"/>
  <c r="F1008" i="14"/>
  <c r="F974" i="14"/>
  <c r="F636" i="14"/>
  <c r="F229" i="14"/>
  <c r="F843" i="14"/>
  <c r="F225" i="14"/>
  <c r="F262" i="14"/>
  <c r="F478" i="14"/>
  <c r="F644" i="14"/>
  <c r="F905" i="14"/>
  <c r="F495" i="14"/>
  <c r="F745" i="14"/>
  <c r="F22" i="14"/>
  <c r="F686" i="14"/>
  <c r="F428" i="14"/>
  <c r="F537" i="14"/>
  <c r="F682" i="14"/>
  <c r="F663" i="14"/>
  <c r="F790" i="14"/>
  <c r="F376" i="14"/>
  <c r="F102" i="14"/>
  <c r="F105" i="14"/>
  <c r="F619" i="14"/>
  <c r="F756" i="14"/>
  <c r="F633" i="14"/>
  <c r="F770" i="14"/>
  <c r="F55" i="14"/>
  <c r="F322" i="14"/>
  <c r="F880" i="14"/>
  <c r="F25" i="14"/>
  <c r="F701" i="14"/>
  <c r="F796" i="14"/>
  <c r="F725" i="14"/>
  <c r="F602" i="14"/>
  <c r="F455" i="14"/>
  <c r="F33" i="14"/>
  <c r="F547" i="14"/>
  <c r="F744" i="14"/>
  <c r="F597" i="14"/>
  <c r="F670" i="14"/>
  <c r="F228" i="14"/>
  <c r="F62" i="14"/>
  <c r="F192" i="14"/>
  <c r="F20" i="14"/>
  <c r="F704" i="14"/>
  <c r="F754" i="14"/>
  <c r="F258" i="14"/>
  <c r="F153" i="14"/>
  <c r="F716" i="14"/>
  <c r="F778" i="14"/>
  <c r="F72" i="14"/>
  <c r="F984" i="14"/>
  <c r="F729" i="14"/>
  <c r="F577" i="14"/>
  <c r="F1009" i="14"/>
  <c r="F928" i="14"/>
  <c r="F507" i="14"/>
  <c r="F101" i="14"/>
  <c r="F615" i="14"/>
  <c r="F565" i="14"/>
  <c r="F516" i="14"/>
  <c r="F450" i="14"/>
  <c r="F838" i="14"/>
  <c r="F605" i="14"/>
  <c r="F364" i="14"/>
  <c r="F149" i="14"/>
  <c r="F599" i="14"/>
  <c r="F451" i="14"/>
  <c r="F969" i="14"/>
  <c r="F446" i="14"/>
  <c r="F692" i="14"/>
  <c r="F173" i="14"/>
  <c r="F915" i="14"/>
  <c r="F339" i="14"/>
  <c r="F699" i="14"/>
  <c r="F28" i="14"/>
  <c r="F593" i="14"/>
  <c r="F858" i="14"/>
  <c r="F36" i="14"/>
  <c r="F259" i="14"/>
  <c r="F533" i="14"/>
  <c r="F306" i="14"/>
  <c r="F801" i="14"/>
  <c r="F402" i="14"/>
  <c r="F145" i="14"/>
  <c r="F768" i="14"/>
  <c r="F1010" i="14"/>
  <c r="F467" i="14"/>
  <c r="F120" i="14"/>
  <c r="F780" i="14"/>
  <c r="F970" i="14"/>
  <c r="F328" i="14"/>
  <c r="F903" i="14"/>
  <c r="F983" i="14"/>
  <c r="F45" i="14"/>
  <c r="F87" i="14"/>
  <c r="F887" i="14"/>
  <c r="F635" i="14"/>
  <c r="F293" i="14"/>
  <c r="F679" i="14"/>
  <c r="F67" i="14"/>
  <c r="F629" i="14"/>
  <c r="F708" i="14"/>
  <c r="F546" i="14"/>
  <c r="F66" i="14"/>
  <c r="F703" i="14"/>
  <c r="F492" i="14"/>
  <c r="F213" i="14"/>
  <c r="F735" i="14"/>
  <c r="F579" i="14"/>
  <c r="F230" i="14"/>
  <c r="F574" i="14"/>
  <c r="F820" i="14"/>
  <c r="F269" i="14"/>
  <c r="F135" i="14"/>
  <c r="F220" i="14"/>
  <c r="F313" i="14"/>
  <c r="F212" i="14"/>
  <c r="F1013" i="14"/>
  <c r="F922" i="14"/>
  <c r="F161" i="14"/>
  <c r="F236" i="14"/>
  <c r="F661" i="14"/>
  <c r="F459" i="14"/>
  <c r="F190" i="14"/>
  <c r="F978" i="14"/>
  <c r="F218" i="14"/>
  <c r="F441" i="14"/>
  <c r="F581" i="14"/>
  <c r="F710" i="14"/>
  <c r="F272" i="14"/>
  <c r="F344" i="14"/>
  <c r="F252" i="14"/>
  <c r="F618" i="14"/>
  <c r="F485" i="14"/>
  <c r="F690" i="14"/>
  <c r="F526" i="14"/>
  <c r="F391" i="14"/>
  <c r="F681" i="14"/>
  <c r="F466" i="14"/>
  <c r="F486" i="14"/>
  <c r="F855" i="14"/>
  <c r="F859" i="14"/>
  <c r="F627" i="14"/>
  <c r="F750" i="14"/>
  <c r="F755" i="14"/>
  <c r="F751" i="14"/>
  <c r="F470" i="14"/>
  <c r="F389" i="14"/>
  <c r="F683" i="14"/>
  <c r="F141" i="14"/>
  <c r="F183" i="14"/>
  <c r="F461" i="14"/>
  <c r="F299" i="14"/>
  <c r="F16" i="14"/>
  <c r="F769" i="14"/>
  <c r="F300" i="14"/>
  <c r="F625" i="14"/>
  <c r="F772" i="14"/>
  <c r="F626" i="14"/>
  <c r="F19" i="14"/>
  <c r="F849" i="14"/>
  <c r="F684" i="14"/>
  <c r="F277" i="14"/>
  <c r="F63" i="14"/>
  <c r="F709" i="14"/>
  <c r="F357" i="14"/>
  <c r="F702" i="14"/>
  <c r="F884" i="14"/>
  <c r="F160" i="14"/>
  <c r="F215" i="14"/>
  <c r="F368" i="14"/>
  <c r="F184" i="14"/>
  <c r="F340" i="14"/>
  <c r="F69" i="14"/>
  <c r="F986" i="14"/>
  <c r="F289" i="14"/>
  <c r="F360" i="14"/>
  <c r="F731" i="14"/>
  <c r="F587" i="14"/>
  <c r="F318" i="14"/>
  <c r="F998" i="14"/>
  <c r="F608" i="14"/>
  <c r="F1007" i="14"/>
  <c r="F324" i="14"/>
  <c r="F719" i="14"/>
  <c r="F100" i="14"/>
  <c r="F900" i="14"/>
  <c r="F558" i="14"/>
  <c r="F255" i="14"/>
  <c r="F491" i="14"/>
  <c r="F113" i="14"/>
  <c r="F732" i="14"/>
  <c r="F680" i="14"/>
  <c r="F465" i="14"/>
  <c r="F914" i="14"/>
  <c r="F742" i="14"/>
  <c r="F429" i="14"/>
  <c r="F58" i="14"/>
  <c r="F528" i="14"/>
  <c r="F878" i="14"/>
  <c r="F377" i="14"/>
  <c r="F875" i="14"/>
  <c r="F387" i="14"/>
  <c r="F453" i="14"/>
  <c r="F196" i="14"/>
  <c r="F221" i="14"/>
  <c r="F550" i="14"/>
  <c r="F541" i="14"/>
  <c r="F508" i="14"/>
  <c r="F144" i="14"/>
  <c r="F335" i="14"/>
  <c r="F392" i="14"/>
  <c r="F88" i="14"/>
  <c r="F836" i="14"/>
  <c r="F122" i="14"/>
  <c r="F211" i="14"/>
  <c r="F430" i="14"/>
  <c r="F748" i="14"/>
  <c r="F554" i="14"/>
  <c r="F127" i="14"/>
  <c r="F291" i="14"/>
  <c r="F421" i="14"/>
  <c r="F363" i="14"/>
  <c r="F948" i="14"/>
  <c r="F610" i="14"/>
  <c r="F311" i="14"/>
  <c r="F720" i="14"/>
  <c r="F398" i="14"/>
  <c r="F604" i="14"/>
  <c r="F133" i="14"/>
  <c r="F298" i="14"/>
  <c r="F136" i="14"/>
  <c r="F616" i="14"/>
  <c r="F989" i="14"/>
  <c r="F251" i="14"/>
  <c r="F401" i="14"/>
  <c r="F493" i="14"/>
  <c r="F949" i="14"/>
  <c r="F515" i="14"/>
  <c r="F301" i="14"/>
  <c r="F572" i="14"/>
  <c r="F520" i="14"/>
  <c r="F314" i="14"/>
  <c r="F876" i="14"/>
  <c r="F140" i="14"/>
  <c r="F1012" i="14"/>
  <c r="F800" i="14"/>
  <c r="F197" i="14"/>
  <c r="F374" i="14"/>
  <c r="F60" i="14"/>
  <c r="F447" i="14"/>
  <c r="F284" i="14"/>
  <c r="F77" i="14"/>
  <c r="F52" i="14"/>
  <c r="F921" i="14"/>
  <c r="F308" i="14"/>
  <c r="F309" i="14"/>
  <c r="F31" i="14"/>
  <c r="F204" i="14"/>
  <c r="F152" i="14"/>
  <c r="F916" i="14"/>
  <c r="F827" i="14"/>
  <c r="F795" i="14"/>
  <c r="F718" i="14"/>
  <c r="F979" i="14"/>
  <c r="F687" i="14"/>
  <c r="F566" i="14"/>
  <c r="F1003" i="14"/>
  <c r="F523" i="14"/>
  <c r="F673" i="14"/>
  <c r="F977" i="14"/>
  <c r="F823" i="14"/>
  <c r="F82" i="14"/>
  <c r="F473" i="14"/>
  <c r="F938" i="14"/>
  <c r="F662" i="14"/>
  <c r="F632" i="14"/>
  <c r="F951" i="14"/>
  <c r="F283" i="14"/>
  <c r="F545" i="14"/>
  <c r="F925" i="14"/>
  <c r="F999" i="14"/>
  <c r="F310" i="14"/>
  <c r="F443" i="14"/>
  <c r="F787" i="14"/>
  <c r="F538" i="14"/>
  <c r="F713" i="14"/>
  <c r="F419" i="14"/>
  <c r="F807" i="14"/>
  <c r="F542" i="14"/>
  <c r="F612" i="14"/>
  <c r="F511" i="14"/>
  <c r="F512" i="14"/>
  <c r="F157" i="14"/>
  <c r="F241" i="14"/>
  <c r="F86" i="14"/>
  <c r="F524" i="14"/>
  <c r="F48" i="14"/>
  <c r="F159" i="14"/>
  <c r="F332" i="14"/>
  <c r="F638" i="14"/>
  <c r="F980" i="14"/>
  <c r="F186" i="14"/>
  <c r="F83" i="14"/>
  <c r="F883" i="14"/>
  <c r="F110" i="14"/>
  <c r="F975" i="14"/>
  <c r="F694" i="14"/>
  <c r="F373" i="14"/>
  <c r="F651" i="14"/>
  <c r="F29" i="14"/>
  <c r="F71" i="14"/>
  <c r="F342" i="14"/>
  <c r="F603" i="14"/>
  <c r="F809" i="14"/>
  <c r="F821" i="14"/>
  <c r="F367" i="14"/>
  <c r="F180" i="14"/>
  <c r="F129" i="14"/>
  <c r="F724" i="14"/>
  <c r="F416" i="14"/>
  <c r="F378" i="14"/>
  <c r="F871" i="14"/>
  <c r="F224" i="14"/>
  <c r="F942" i="14"/>
  <c r="F941" i="14"/>
  <c r="F696" i="14"/>
  <c r="F124" i="14"/>
  <c r="F250" i="14"/>
  <c r="F413" i="14"/>
  <c r="F913" i="14"/>
  <c r="F837" i="14"/>
  <c r="F937" i="14"/>
  <c r="F676" i="14"/>
  <c r="F934" i="14"/>
  <c r="F576" i="14"/>
  <c r="F146" i="14"/>
  <c r="F1004" i="14"/>
  <c r="F481" i="14"/>
  <c r="F226" i="14"/>
  <c r="F689" i="14"/>
  <c r="F280" i="14"/>
  <c r="F131" i="14"/>
  <c r="F919" i="14"/>
  <c r="F723" i="14"/>
  <c r="F440" i="14"/>
  <c r="F860" i="14"/>
  <c r="F931" i="14"/>
  <c r="F238" i="14"/>
  <c r="F525" i="14"/>
  <c r="F27" i="14"/>
  <c r="F583" i="14"/>
  <c r="F674" i="14"/>
  <c r="F595" i="14"/>
  <c r="F814" i="14"/>
  <c r="F155" i="14"/>
  <c r="F936" i="14"/>
  <c r="F295" i="14"/>
  <c r="F721" i="14"/>
  <c r="F588" i="14"/>
  <c r="F99" i="14"/>
  <c r="F788" i="14"/>
  <c r="F848" i="14"/>
  <c r="F634" i="14"/>
  <c r="F437" i="14"/>
  <c r="F591" i="14"/>
  <c r="F819" i="14"/>
  <c r="F74" i="14"/>
  <c r="F760" i="14"/>
  <c r="F260" i="14"/>
  <c r="F399" i="14"/>
  <c r="F509" i="14"/>
  <c r="F46" i="14"/>
  <c r="F963" i="14"/>
  <c r="F70" i="14"/>
  <c r="F740" i="14"/>
  <c r="F117" i="14"/>
  <c r="F96" i="14"/>
  <c r="F917" i="14"/>
  <c r="F940" i="14"/>
  <c r="F613" i="14"/>
  <c r="F232" i="14"/>
  <c r="F325" i="14"/>
  <c r="F73" i="14"/>
  <c r="F864" i="14"/>
  <c r="F562" i="14"/>
  <c r="F178" i="14"/>
  <c r="F715" i="14"/>
  <c r="F474" i="14"/>
  <c r="F297" i="14"/>
  <c r="F290" i="14"/>
  <c r="F794" i="14"/>
  <c r="F967" i="14"/>
  <c r="F130" i="14"/>
  <c r="F746" i="14"/>
  <c r="F976" i="14"/>
  <c r="F282" i="14"/>
  <c r="F584" i="14"/>
  <c r="F924" i="14"/>
  <c r="F411" i="14"/>
  <c r="F37" i="14"/>
  <c r="F568" i="14"/>
  <c r="F647" i="14"/>
  <c r="F933" i="14"/>
  <c r="F279" i="14"/>
  <c r="F652" i="14"/>
  <c r="F227" i="14"/>
  <c r="F771" i="14"/>
  <c r="F881" i="14"/>
  <c r="F954" i="14"/>
  <c r="F501" i="14"/>
  <c r="F671" i="14"/>
  <c r="F743" i="14"/>
  <c r="F535" i="14"/>
  <c r="F14" i="14"/>
  <c r="F628" i="14"/>
  <c r="F753" i="14"/>
  <c r="F973" i="14"/>
  <c r="F521" i="14"/>
  <c r="F303" i="14"/>
  <c r="F469" i="14"/>
  <c r="F996" i="14"/>
  <c r="F487" i="14"/>
  <c r="F601" i="14"/>
  <c r="F181" i="14"/>
  <c r="F353" i="14"/>
  <c r="F200" i="14"/>
  <c r="F274" i="14"/>
  <c r="F138" i="14"/>
  <c r="F816" i="14"/>
  <c r="F235" i="14"/>
  <c r="F503" i="14"/>
  <c r="F126" i="14"/>
  <c r="F866" i="14"/>
  <c r="F420" i="14"/>
  <c r="F210" i="14"/>
  <c r="F435" i="14"/>
  <c r="F810" i="14"/>
  <c r="F953" i="14"/>
  <c r="F484" i="14"/>
  <c r="F132" i="14"/>
  <c r="F32" i="14"/>
  <c r="F737" i="14"/>
  <c r="F194" i="14"/>
  <c r="F774" i="14"/>
  <c r="F569" i="14"/>
  <c r="F355" i="14"/>
  <c r="F513" i="14"/>
  <c r="F641" i="14"/>
  <c r="F423" i="14"/>
  <c r="F606" i="14"/>
  <c r="F785" i="14"/>
  <c r="F244" i="14"/>
  <c r="F319" i="14"/>
  <c r="F549" i="14"/>
  <c r="F831" i="14"/>
  <c r="F305" i="14"/>
  <c r="F654" i="14"/>
  <c r="F261" i="14"/>
  <c r="F502" i="14"/>
  <c r="F873" i="14"/>
  <c r="F529" i="14"/>
  <c r="F156" i="14"/>
  <c r="F600" i="14"/>
  <c r="F590" i="14"/>
  <c r="F116" i="14"/>
  <c r="F68" i="14"/>
  <c r="F961" i="14"/>
  <c r="F782" i="14"/>
  <c r="F758" i="14"/>
  <c r="F920" i="14"/>
  <c r="F678" i="14"/>
  <c r="F966" i="14"/>
  <c r="F414" i="14"/>
  <c r="F739" i="14"/>
  <c r="F98" i="14"/>
  <c r="F93" i="14"/>
  <c r="F154" i="14"/>
  <c r="F445" i="14"/>
  <c r="F808" i="14"/>
  <c r="F894" i="14"/>
  <c r="F561" i="14"/>
  <c r="F504" i="14"/>
  <c r="F872" i="14"/>
  <c r="F988" i="14"/>
  <c r="F640" i="14"/>
  <c r="F944" i="14"/>
  <c r="F176" i="14"/>
  <c r="F645" i="14"/>
  <c r="F994" i="14"/>
  <c r="F379" i="14"/>
  <c r="F264" i="14"/>
  <c r="F845" i="14"/>
  <c r="F400" i="14"/>
  <c r="F206" i="14"/>
  <c r="F775" i="14"/>
  <c r="F233" i="14"/>
  <c r="F857" i="14"/>
  <c r="F499" i="14"/>
  <c r="F939" i="14"/>
  <c r="F666" i="14"/>
  <c r="F675" i="14"/>
  <c r="F798" i="14"/>
  <c r="F253" i="14"/>
  <c r="F621" i="14"/>
  <c r="F763" i="14"/>
  <c r="F714" i="14"/>
  <c r="F711" i="14"/>
  <c r="F607" i="14"/>
  <c r="F700" i="14"/>
  <c r="F438" i="14"/>
  <c r="F452" i="14"/>
  <c r="F480" i="14"/>
  <c r="F21" i="14"/>
  <c r="F34" i="14"/>
  <c r="F24" i="14"/>
  <c r="J8" i="14"/>
  <c r="F693" i="14"/>
  <c r="F107" i="14"/>
  <c r="F730" i="14"/>
  <c r="F893" i="14"/>
  <c r="F791" i="14"/>
  <c r="F317" i="14"/>
  <c r="F573" i="14"/>
  <c r="F956" i="14"/>
  <c r="F964" i="14"/>
  <c r="F85" i="14"/>
  <c r="F147" i="14"/>
  <c r="F50" i="14"/>
  <c r="F766" i="14"/>
  <c r="H7" i="14"/>
  <c r="K7" i="14"/>
  <c r="M7" i="14"/>
  <c r="F777" i="14"/>
  <c r="F519" i="14"/>
  <c r="F237" i="14"/>
  <c r="F946" i="14"/>
  <c r="F383" i="14"/>
  <c r="F468" i="14"/>
  <c r="F648" i="14"/>
  <c r="F874" i="14"/>
  <c r="F150" i="14"/>
  <c r="F548" i="14"/>
  <c r="L72" i="3" l="1"/>
  <c r="L73" i="3"/>
  <c r="L68" i="3" s="1"/>
  <c r="L71" i="3" s="1"/>
  <c r="M72" i="3"/>
  <c r="M73" i="3"/>
  <c r="M68" i="3" s="1"/>
  <c r="M71" i="3" s="1"/>
  <c r="D126" i="4"/>
  <c r="F119" i="4"/>
  <c r="F121" i="4" s="1"/>
  <c r="F126" i="4" s="1"/>
  <c r="M58" i="3"/>
  <c r="M62" i="3" s="1"/>
  <c r="M63" i="3" s="1"/>
  <c r="M64" i="3" s="1"/>
  <c r="L61" i="3"/>
  <c r="M164" i="4"/>
  <c r="F118" i="4"/>
  <c r="E212" i="4"/>
  <c r="F214" i="4" s="1"/>
  <c r="D216" i="4" s="1"/>
  <c r="G216" i="4" s="1"/>
  <c r="M176" i="4"/>
  <c r="D144" i="4"/>
  <c r="F170" i="4"/>
  <c r="K174" i="4"/>
  <c r="G175" i="4"/>
  <c r="H175" i="4" s="1"/>
  <c r="M174" i="4"/>
  <c r="J205" i="4"/>
  <c r="K164" i="4"/>
  <c r="N175" i="4"/>
  <c r="G165" i="4"/>
  <c r="H165" i="4" s="1"/>
  <c r="E203" i="4"/>
  <c r="D205" i="4" s="1"/>
  <c r="N165" i="4"/>
  <c r="E142" i="4"/>
  <c r="F142" i="4" s="1"/>
  <c r="F144" i="4" s="1"/>
  <c r="M166" i="4"/>
  <c r="M50" i="4"/>
  <c r="M54" i="4" s="1"/>
  <c r="M55" i="4" s="1"/>
  <c r="L166" i="4"/>
  <c r="J45" i="4"/>
  <c r="K176" i="4"/>
  <c r="G17" i="20"/>
  <c r="G18" i="20" s="1"/>
  <c r="F17" i="20"/>
  <c r="F18" i="20" s="1"/>
  <c r="E17" i="20"/>
  <c r="E18" i="20" s="1"/>
  <c r="D20" i="20" s="1"/>
  <c r="D21" i="20" s="1"/>
  <c r="D22" i="20" s="1"/>
  <c r="D19" i="20"/>
  <c r="F18" i="23"/>
  <c r="M25" i="3"/>
  <c r="M20" i="3" s="1"/>
  <c r="M23" i="3" s="1"/>
  <c r="O25" i="3"/>
  <c r="O20" i="3" s="1"/>
  <c r="O23" i="3" s="1"/>
  <c r="N41" i="3"/>
  <c r="N36" i="3" s="1"/>
  <c r="N39" i="3" s="1"/>
  <c r="L36" i="3"/>
  <c r="L39" i="3" s="1"/>
  <c r="B15" i="27"/>
  <c r="C14" i="27"/>
  <c r="M27" i="3"/>
  <c r="N27" i="3"/>
  <c r="M56" i="3"/>
  <c r="L57" i="3"/>
  <c r="L52" i="3" s="1"/>
  <c r="D75" i="2"/>
  <c r="G72" i="2"/>
  <c r="G73" i="2"/>
  <c r="F73" i="2"/>
  <c r="M8" i="18"/>
  <c r="L8" i="18"/>
  <c r="E7" i="18"/>
  <c r="F10" i="18"/>
  <c r="G10" i="18" s="1"/>
  <c r="K10" i="18" s="1"/>
  <c r="K6" i="18"/>
  <c r="N6" i="18" s="1"/>
  <c r="M11" i="18"/>
  <c r="G7" i="18"/>
  <c r="K7" i="18" s="1"/>
  <c r="N7" i="18" s="1"/>
  <c r="E17" i="18"/>
  <c r="E18" i="18"/>
  <c r="K18" i="18" s="1"/>
  <c r="N18" i="18" s="1"/>
  <c r="K15" i="18"/>
  <c r="N15" i="18" s="1"/>
  <c r="K11" i="18"/>
  <c r="K8" i="18"/>
  <c r="N8" i="18" s="1"/>
  <c r="E16" i="18"/>
  <c r="K16" i="18" s="1"/>
  <c r="N16" i="18" s="1"/>
  <c r="L27" i="3"/>
  <c r="L25" i="3" s="1"/>
  <c r="O28" i="3"/>
  <c r="T26" i="3"/>
  <c r="O27" i="3"/>
  <c r="D88" i="3"/>
  <c r="O42" i="3"/>
  <c r="O46" i="3" s="1"/>
  <c r="O47" i="3" s="1"/>
  <c r="O48" i="3" s="1"/>
  <c r="O38" i="3" s="1"/>
  <c r="M42" i="3"/>
  <c r="M46" i="3" s="1"/>
  <c r="M47" i="3" s="1"/>
  <c r="M48" i="3" s="1"/>
  <c r="M38" i="3" s="1"/>
  <c r="L56" i="3"/>
  <c r="S22" i="3"/>
  <c r="T22" i="3" s="1"/>
  <c r="R26" i="3"/>
  <c r="O24" i="3"/>
  <c r="L24" i="3"/>
  <c r="N29" i="3"/>
  <c r="O29" i="3"/>
  <c r="N24" i="3"/>
  <c r="M28" i="3"/>
  <c r="M24" i="3"/>
  <c r="O26" i="3"/>
  <c r="M26" i="3"/>
  <c r="I92" i="3"/>
  <c r="E94" i="3" s="1"/>
  <c r="F94" i="3" s="1"/>
  <c r="G94" i="3" s="1"/>
  <c r="J92" i="3" s="1"/>
  <c r="F6" i="19"/>
  <c r="F14" i="19" s="1"/>
  <c r="E18" i="19"/>
  <c r="M61" i="3"/>
  <c r="M57" i="3"/>
  <c r="M52" i="3" s="1"/>
  <c r="M14" i="19"/>
  <c r="L18" i="19"/>
  <c r="E214" i="4" l="1"/>
  <c r="C216" i="4" s="1"/>
  <c r="D214" i="4"/>
  <c r="M170" i="4"/>
  <c r="F123" i="4"/>
  <c r="F124" i="4" s="1"/>
  <c r="F127" i="4"/>
  <c r="F212" i="4"/>
  <c r="G212" i="4" s="1"/>
  <c r="H212" i="4" s="1"/>
  <c r="F205" i="4"/>
  <c r="I205" i="4" s="1"/>
  <c r="E205" i="4"/>
  <c r="H205" i="4" s="1"/>
  <c r="N47" i="4"/>
  <c r="N45" i="4"/>
  <c r="N46" i="4"/>
  <c r="F20" i="20"/>
  <c r="F21" i="20" s="1"/>
  <c r="F22" i="20" s="1"/>
  <c r="F19" i="20"/>
  <c r="N11" i="18"/>
  <c r="N25" i="3"/>
  <c r="N20" i="3" s="1"/>
  <c r="N23" i="3" s="1"/>
  <c r="L20" i="3"/>
  <c r="L23" i="3" s="1"/>
  <c r="C15" i="27"/>
  <c r="B16" i="27"/>
  <c r="M30" i="3"/>
  <c r="M31" i="3" s="1"/>
  <c r="M32" i="3" s="1"/>
  <c r="M22" i="3" s="1"/>
  <c r="M10" i="18"/>
  <c r="K17" i="18"/>
  <c r="N17" i="18" s="1"/>
  <c r="L10" i="18"/>
  <c r="N10" i="18" s="1"/>
  <c r="O30" i="3"/>
  <c r="O31" i="3" s="1"/>
  <c r="O32" i="3" s="1"/>
  <c r="O22" i="3" s="1"/>
  <c r="M54" i="3"/>
  <c r="E19" i="19"/>
  <c r="F18" i="19"/>
  <c r="G18" i="19" s="1"/>
  <c r="L19" i="19"/>
  <c r="M18" i="19"/>
  <c r="N18" i="19" s="1"/>
  <c r="F203" i="4" l="1"/>
  <c r="G203" i="4" s="1"/>
  <c r="H203" i="4" s="1"/>
  <c r="B17" i="27"/>
  <c r="C16" i="27"/>
  <c r="E20" i="19"/>
  <c r="F19" i="19"/>
  <c r="G19" i="19" s="1"/>
  <c r="L20" i="19"/>
  <c r="M19" i="19"/>
  <c r="N19" i="19" s="1"/>
  <c r="B18" i="27" l="1"/>
  <c r="C17" i="27"/>
  <c r="H18" i="19"/>
  <c r="E21" i="19"/>
  <c r="F20" i="19"/>
  <c r="G20" i="19" s="1"/>
  <c r="O18" i="19"/>
  <c r="L21" i="19"/>
  <c r="M20" i="19"/>
  <c r="N20" i="19" s="1"/>
  <c r="C18" i="27" l="1"/>
  <c r="B19" i="27"/>
  <c r="H19" i="19"/>
  <c r="E22" i="19"/>
  <c r="F21" i="19"/>
  <c r="G21" i="19" s="1"/>
  <c r="O19" i="19"/>
  <c r="M21" i="19"/>
  <c r="N21" i="19" s="1"/>
  <c r="L22" i="19"/>
  <c r="B20" i="27" l="1"/>
  <c r="C19" i="27"/>
  <c r="H20" i="19"/>
  <c r="F22" i="19"/>
  <c r="G22" i="19" s="1"/>
  <c r="E23" i="19"/>
  <c r="O20" i="19"/>
  <c r="M22" i="19"/>
  <c r="N22" i="19" s="1"/>
  <c r="L23" i="19"/>
  <c r="C20" i="27" l="1"/>
  <c r="B21" i="27"/>
  <c r="H21" i="19"/>
  <c r="F23" i="19"/>
  <c r="G23" i="19" s="1"/>
  <c r="E24" i="19"/>
  <c r="M23" i="19"/>
  <c r="N23" i="19" s="1"/>
  <c r="L24" i="19"/>
  <c r="O21" i="19"/>
  <c r="C21" i="27" l="1"/>
  <c r="B22" i="27"/>
  <c r="H22" i="19"/>
  <c r="E25" i="19"/>
  <c r="F24" i="19"/>
  <c r="G24" i="19" s="1"/>
  <c r="O22" i="19"/>
  <c r="L25" i="19"/>
  <c r="M24" i="19"/>
  <c r="N24" i="19" s="1"/>
  <c r="C22" i="27" l="1"/>
  <c r="B23" i="27"/>
  <c r="H23" i="19"/>
  <c r="E26" i="19"/>
  <c r="F25" i="19"/>
  <c r="G25" i="19" s="1"/>
  <c r="O23" i="19"/>
  <c r="M25" i="19"/>
  <c r="N25" i="19" s="1"/>
  <c r="L26" i="19"/>
  <c r="B24" i="27" l="1"/>
  <c r="C23" i="27"/>
  <c r="E27" i="19"/>
  <c r="F26" i="19"/>
  <c r="G26" i="19" s="1"/>
  <c r="H24" i="19"/>
  <c r="O24" i="19"/>
  <c r="L27" i="19"/>
  <c r="M26" i="19"/>
  <c r="N26" i="19" s="1"/>
  <c r="B25" i="27" l="1"/>
  <c r="C24" i="27"/>
  <c r="H25" i="19"/>
  <c r="E28" i="19"/>
  <c r="F27" i="19"/>
  <c r="G27" i="19" s="1"/>
  <c r="M27" i="19"/>
  <c r="N27" i="19" s="1"/>
  <c r="L28" i="19"/>
  <c r="O25" i="19"/>
  <c r="C25" i="27" l="1"/>
  <c r="B26" i="27"/>
  <c r="H26" i="19"/>
  <c r="E29" i="19"/>
  <c r="F28" i="19"/>
  <c r="G28" i="19" s="1"/>
  <c r="L29" i="19"/>
  <c r="M28" i="19"/>
  <c r="N28" i="19" s="1"/>
  <c r="O26" i="19"/>
  <c r="C26" i="27" l="1"/>
  <c r="B27" i="27"/>
  <c r="H27" i="19"/>
  <c r="E30" i="19"/>
  <c r="F29" i="19"/>
  <c r="G29" i="19" s="1"/>
  <c r="O27" i="19"/>
  <c r="L30" i="19"/>
  <c r="M29" i="19"/>
  <c r="N29" i="19" s="1"/>
  <c r="C27" i="27" l="1"/>
  <c r="B28" i="27"/>
  <c r="F30" i="19"/>
  <c r="G30" i="19" s="1"/>
  <c r="E31" i="19"/>
  <c r="H28" i="19"/>
  <c r="O28" i="19"/>
  <c r="M30" i="19"/>
  <c r="N30" i="19" s="1"/>
  <c r="L31" i="19"/>
  <c r="B29" i="27" l="1"/>
  <c r="C28" i="27"/>
  <c r="H29" i="19"/>
  <c r="F31" i="19"/>
  <c r="G31" i="19" s="1"/>
  <c r="E32" i="19"/>
  <c r="O29" i="19"/>
  <c r="M31" i="19"/>
  <c r="N31" i="19" s="1"/>
  <c r="L32" i="19"/>
  <c r="B30" i="27" l="1"/>
  <c r="C29" i="27"/>
  <c r="H30" i="19"/>
  <c r="F32" i="19"/>
  <c r="G32" i="19" s="1"/>
  <c r="E33" i="19"/>
  <c r="O30" i="19"/>
  <c r="L33" i="19"/>
  <c r="M32" i="19"/>
  <c r="N32" i="19" s="1"/>
  <c r="B31" i="27" l="1"/>
  <c r="C30" i="27"/>
  <c r="H31" i="19"/>
  <c r="F33" i="19"/>
  <c r="G33" i="19" s="1"/>
  <c r="E34" i="19"/>
  <c r="M33" i="19"/>
  <c r="N33" i="19" s="1"/>
  <c r="L34" i="19"/>
  <c r="O31" i="19"/>
  <c r="C31" i="27" l="1"/>
  <c r="B32" i="27"/>
  <c r="H32" i="19"/>
  <c r="E35" i="19"/>
  <c r="F34" i="19"/>
  <c r="G34" i="19" s="1"/>
  <c r="O32" i="19"/>
  <c r="L35" i="19"/>
  <c r="M34" i="19"/>
  <c r="N34" i="19" s="1"/>
  <c r="C32" i="27" l="1"/>
  <c r="B33" i="27"/>
  <c r="E36" i="19"/>
  <c r="F35" i="19"/>
  <c r="G35" i="19" s="1"/>
  <c r="H33" i="19"/>
  <c r="O33" i="19"/>
  <c r="M35" i="19"/>
  <c r="N35" i="19" s="1"/>
  <c r="L36" i="19"/>
  <c r="C33" i="27" l="1"/>
  <c r="B34" i="27"/>
  <c r="H34" i="19"/>
  <c r="E37" i="19"/>
  <c r="F36" i="19"/>
  <c r="G36" i="19" s="1"/>
  <c r="O34" i="19"/>
  <c r="M36" i="19"/>
  <c r="N36" i="19" s="1"/>
  <c r="L37" i="19"/>
  <c r="C34" i="27" l="1"/>
  <c r="B35" i="27"/>
  <c r="E38" i="19"/>
  <c r="F37" i="19"/>
  <c r="G37" i="19" s="1"/>
  <c r="H35" i="19"/>
  <c r="O35" i="19"/>
  <c r="M37" i="19"/>
  <c r="N37" i="19" s="1"/>
  <c r="L38" i="19"/>
  <c r="C35" i="27" l="1"/>
  <c r="B36" i="27"/>
  <c r="H36" i="19"/>
  <c r="E39" i="19"/>
  <c r="F38" i="19"/>
  <c r="G38" i="19" s="1"/>
  <c r="O36" i="19"/>
  <c r="L39" i="19"/>
  <c r="M38" i="19"/>
  <c r="N38" i="19" s="1"/>
  <c r="C36" i="27" l="1"/>
  <c r="B37" i="27"/>
  <c r="H37" i="19"/>
  <c r="E40" i="19"/>
  <c r="F39" i="19"/>
  <c r="G39" i="19" s="1"/>
  <c r="O37" i="19"/>
  <c r="M39" i="19"/>
  <c r="N39" i="19" s="1"/>
  <c r="L40" i="19"/>
  <c r="B38" i="27" l="1"/>
  <c r="C37" i="27"/>
  <c r="H38" i="19"/>
  <c r="E41" i="19"/>
  <c r="F40" i="19"/>
  <c r="G40" i="19" s="1"/>
  <c r="O38" i="19"/>
  <c r="M40" i="19"/>
  <c r="N40" i="19" s="1"/>
  <c r="L41" i="19"/>
  <c r="B39" i="27" l="1"/>
  <c r="C38" i="27"/>
  <c r="H39" i="19"/>
  <c r="F41" i="19"/>
  <c r="G41" i="19" s="1"/>
  <c r="E42" i="19"/>
  <c r="M41" i="19"/>
  <c r="N41" i="19" s="1"/>
  <c r="O40" i="19" s="1"/>
  <c r="L42" i="19"/>
  <c r="O39" i="19"/>
  <c r="B40" i="27" l="1"/>
  <c r="C39" i="27"/>
  <c r="H40" i="19"/>
  <c r="F42" i="19"/>
  <c r="G42" i="19" s="1"/>
  <c r="E43" i="19"/>
  <c r="M42" i="19"/>
  <c r="N42" i="19" s="1"/>
  <c r="L43" i="19"/>
  <c r="B41" i="27" l="1"/>
  <c r="C40" i="27"/>
  <c r="H41" i="19"/>
  <c r="E44" i="19"/>
  <c r="F43" i="19"/>
  <c r="G43" i="19" s="1"/>
  <c r="M43" i="19"/>
  <c r="N43" i="19" s="1"/>
  <c r="L44" i="19"/>
  <c r="O41" i="19"/>
  <c r="B42" i="27" l="1"/>
  <c r="C41" i="27"/>
  <c r="E45" i="19"/>
  <c r="F44" i="19"/>
  <c r="G44" i="19" s="1"/>
  <c r="H42" i="19"/>
  <c r="L45" i="19"/>
  <c r="M44" i="19"/>
  <c r="N44" i="19" s="1"/>
  <c r="O42" i="19"/>
  <c r="B43" i="27" l="1"/>
  <c r="C42" i="27"/>
  <c r="H43" i="19"/>
  <c r="E46" i="19"/>
  <c r="F45" i="19"/>
  <c r="G45" i="19" s="1"/>
  <c r="O43" i="19"/>
  <c r="M45" i="19"/>
  <c r="N45" i="19" s="1"/>
  <c r="L46" i="19"/>
  <c r="B44" i="27" l="1"/>
  <c r="C43" i="27"/>
  <c r="F46" i="19"/>
  <c r="G46" i="19" s="1"/>
  <c r="E47" i="19"/>
  <c r="H44" i="19"/>
  <c r="O44" i="19"/>
  <c r="L47" i="19"/>
  <c r="M46" i="19"/>
  <c r="N46" i="19" s="1"/>
  <c r="C44" i="27" l="1"/>
  <c r="B45" i="27"/>
  <c r="E48" i="19"/>
  <c r="F47" i="19"/>
  <c r="G47" i="19" s="1"/>
  <c r="H45" i="19"/>
  <c r="O45" i="19"/>
  <c r="M47" i="19"/>
  <c r="N47" i="19" s="1"/>
  <c r="L48" i="19"/>
  <c r="C45" i="27" l="1"/>
  <c r="B46" i="27"/>
  <c r="H46" i="19"/>
  <c r="E49" i="19"/>
  <c r="F48" i="19"/>
  <c r="G48" i="19" s="1"/>
  <c r="O46" i="19"/>
  <c r="M48" i="19"/>
  <c r="N48" i="19" s="1"/>
  <c r="L49" i="19"/>
  <c r="C46" i="27" l="1"/>
  <c r="B47" i="27"/>
  <c r="H47" i="19"/>
  <c r="E50" i="19"/>
  <c r="F49" i="19"/>
  <c r="G49" i="19" s="1"/>
  <c r="O47" i="19"/>
  <c r="L50" i="19"/>
  <c r="M49" i="19"/>
  <c r="N49" i="19" s="1"/>
  <c r="C47" i="27" l="1"/>
  <c r="B48" i="27"/>
  <c r="H48" i="19"/>
  <c r="E51" i="19"/>
  <c r="F50" i="19"/>
  <c r="G50" i="19" s="1"/>
  <c r="O48" i="19"/>
  <c r="M50" i="19"/>
  <c r="N50" i="19" s="1"/>
  <c r="L51" i="19"/>
  <c r="C48" i="27" l="1"/>
  <c r="B49" i="27"/>
  <c r="H49" i="19"/>
  <c r="E52" i="19"/>
  <c r="F51" i="19"/>
  <c r="G51" i="19" s="1"/>
  <c r="O49" i="19"/>
  <c r="M51" i="19"/>
  <c r="N51" i="19" s="1"/>
  <c r="L52" i="19"/>
  <c r="C49" i="27" l="1"/>
  <c r="B50" i="27"/>
  <c r="H50" i="19"/>
  <c r="E53" i="19"/>
  <c r="F52" i="19"/>
  <c r="G52" i="19" s="1"/>
  <c r="M52" i="19"/>
  <c r="N52" i="19" s="1"/>
  <c r="L53" i="19"/>
  <c r="O50" i="19"/>
  <c r="B51" i="27" l="1"/>
  <c r="C50" i="27"/>
  <c r="E54" i="19"/>
  <c r="F53" i="19"/>
  <c r="G53" i="19" s="1"/>
  <c r="H51" i="19"/>
  <c r="O51" i="19"/>
  <c r="L54" i="19"/>
  <c r="M53" i="19"/>
  <c r="N53" i="19" s="1"/>
  <c r="C51" i="27" l="1"/>
  <c r="B52" i="27"/>
  <c r="H52" i="19"/>
  <c r="E55" i="19"/>
  <c r="F54" i="19"/>
  <c r="G54" i="19" s="1"/>
  <c r="O52" i="19"/>
  <c r="M54" i="19"/>
  <c r="N54" i="19" s="1"/>
  <c r="L55" i="19"/>
  <c r="B53" i="27" l="1"/>
  <c r="C52" i="27"/>
  <c r="H53" i="19"/>
  <c r="F55" i="19"/>
  <c r="G55" i="19" s="1"/>
  <c r="E56" i="19"/>
  <c r="L56" i="19"/>
  <c r="M55" i="19"/>
  <c r="N55" i="19" s="1"/>
  <c r="O53" i="19"/>
  <c r="C53" i="27" l="1"/>
  <c r="B54" i="27"/>
  <c r="H54" i="19"/>
  <c r="F56" i="19"/>
  <c r="G56" i="19" s="1"/>
  <c r="E57" i="19"/>
  <c r="O54" i="19"/>
  <c r="L57" i="19"/>
  <c r="M56" i="19"/>
  <c r="N56" i="19" s="1"/>
  <c r="C54" i="27" l="1"/>
  <c r="B55" i="27"/>
  <c r="H55" i="19"/>
  <c r="E58" i="19"/>
  <c r="F57" i="19"/>
  <c r="G57" i="19" s="1"/>
  <c r="O55" i="19"/>
  <c r="M57" i="19"/>
  <c r="N57" i="19" s="1"/>
  <c r="L58" i="19"/>
  <c r="C55" i="27" l="1"/>
  <c r="B56" i="27"/>
  <c r="E59" i="19"/>
  <c r="F58" i="19"/>
  <c r="G58" i="19" s="1"/>
  <c r="H56" i="19"/>
  <c r="O56" i="19"/>
  <c r="L59" i="19"/>
  <c r="M58" i="19"/>
  <c r="N58" i="19" s="1"/>
  <c r="C56" i="27" l="1"/>
  <c r="B57" i="27"/>
  <c r="H57" i="19"/>
  <c r="F59" i="19"/>
  <c r="G59" i="19" s="1"/>
  <c r="E60" i="19"/>
  <c r="O57" i="19"/>
  <c r="L60" i="19"/>
  <c r="M59" i="19"/>
  <c r="N59" i="19" s="1"/>
  <c r="B58" i="27" l="1"/>
  <c r="C57" i="27"/>
  <c r="H58" i="19"/>
  <c r="E61" i="19"/>
  <c r="F60" i="19"/>
  <c r="G60" i="19" s="1"/>
  <c r="L61" i="19"/>
  <c r="M60" i="19"/>
  <c r="N60" i="19" s="1"/>
  <c r="O58" i="19"/>
  <c r="C58" i="27" l="1"/>
  <c r="B59" i="27"/>
  <c r="H59" i="19"/>
  <c r="E62" i="19"/>
  <c r="F61" i="19"/>
  <c r="G61" i="19" s="1"/>
  <c r="O59" i="19"/>
  <c r="M61" i="19"/>
  <c r="N61" i="19" s="1"/>
  <c r="L62" i="19"/>
  <c r="C59" i="27" l="1"/>
  <c r="B60" i="27"/>
  <c r="H60" i="19"/>
  <c r="E63" i="19"/>
  <c r="F62" i="19"/>
  <c r="G62" i="19" s="1"/>
  <c r="O60" i="19"/>
  <c r="L63" i="19"/>
  <c r="M62" i="19"/>
  <c r="N62" i="19" s="1"/>
  <c r="B61" i="27" l="1"/>
  <c r="C60" i="27"/>
  <c r="H61" i="19"/>
  <c r="E64" i="19"/>
  <c r="F63" i="19"/>
  <c r="G63" i="19" s="1"/>
  <c r="M63" i="19"/>
  <c r="N63" i="19" s="1"/>
  <c r="L64" i="19"/>
  <c r="O61" i="19"/>
  <c r="C61" i="27" l="1"/>
  <c r="B62" i="27"/>
  <c r="H62" i="19"/>
  <c r="E65" i="19"/>
  <c r="F64" i="19"/>
  <c r="G64" i="19" s="1"/>
  <c r="L65" i="19"/>
  <c r="M64" i="19"/>
  <c r="N64" i="19" s="1"/>
  <c r="O62" i="19"/>
  <c r="B63" i="27" l="1"/>
  <c r="C62" i="27"/>
  <c r="H63" i="19"/>
  <c r="E66" i="19"/>
  <c r="F65" i="19"/>
  <c r="G65" i="19" s="1"/>
  <c r="O63" i="19"/>
  <c r="M65" i="19"/>
  <c r="N65" i="19" s="1"/>
  <c r="L66" i="19"/>
  <c r="B64" i="27" l="1"/>
  <c r="C63" i="27"/>
  <c r="E67" i="19"/>
  <c r="F66" i="19"/>
  <c r="G66" i="19" s="1"/>
  <c r="H64" i="19"/>
  <c r="O64" i="19"/>
  <c r="M66" i="19"/>
  <c r="N66" i="19" s="1"/>
  <c r="L67" i="19"/>
  <c r="B65" i="27" l="1"/>
  <c r="C64" i="27"/>
  <c r="H65" i="19"/>
  <c r="E68" i="19"/>
  <c r="F67" i="19"/>
  <c r="G67" i="19" s="1"/>
  <c r="L68" i="19"/>
  <c r="M67" i="19"/>
  <c r="N67" i="19" s="1"/>
  <c r="O65" i="19"/>
  <c r="B66" i="27" l="1"/>
  <c r="C65" i="27"/>
  <c r="H66" i="19"/>
  <c r="E69" i="19"/>
  <c r="F68" i="19"/>
  <c r="G68" i="19" s="1"/>
  <c r="O66" i="19"/>
  <c r="L69" i="19"/>
  <c r="M68" i="19"/>
  <c r="N68" i="19" s="1"/>
  <c r="B67" i="27" l="1"/>
  <c r="C66" i="27"/>
  <c r="E70" i="19"/>
  <c r="F69" i="19"/>
  <c r="G69" i="19" s="1"/>
  <c r="H67" i="19"/>
  <c r="M69" i="19"/>
  <c r="N69" i="19" s="1"/>
  <c r="L70" i="19"/>
  <c r="O67" i="19"/>
  <c r="C67" i="27" l="1"/>
  <c r="B68" i="27"/>
  <c r="H68" i="19"/>
  <c r="E71" i="19"/>
  <c r="F70" i="19"/>
  <c r="G70" i="19" s="1"/>
  <c r="L71" i="19"/>
  <c r="M70" i="19"/>
  <c r="N70" i="19" s="1"/>
  <c r="O68" i="19"/>
  <c r="B69" i="27" l="1"/>
  <c r="C68" i="27"/>
  <c r="H69" i="19"/>
  <c r="E72" i="19"/>
  <c r="F71" i="19"/>
  <c r="G71" i="19" s="1"/>
  <c r="O69" i="19"/>
  <c r="M71" i="19"/>
  <c r="N71" i="19" s="1"/>
  <c r="L72" i="19"/>
  <c r="B70" i="27" l="1"/>
  <c r="C69" i="27"/>
  <c r="H70" i="19"/>
  <c r="E73" i="19"/>
  <c r="F72" i="19"/>
  <c r="G72" i="19" s="1"/>
  <c r="O70" i="19"/>
  <c r="L73" i="19"/>
  <c r="M72" i="19"/>
  <c r="N72" i="19" s="1"/>
  <c r="C70" i="27" l="1"/>
  <c r="B71" i="27"/>
  <c r="E74" i="19"/>
  <c r="F73" i="19"/>
  <c r="G73" i="19" s="1"/>
  <c r="H71" i="19"/>
  <c r="O71" i="19"/>
  <c r="M73" i="19"/>
  <c r="N73" i="19" s="1"/>
  <c r="L74" i="19"/>
  <c r="C71" i="27" l="1"/>
  <c r="B72" i="27"/>
  <c r="H72" i="19"/>
  <c r="F74" i="19"/>
  <c r="G74" i="19" s="1"/>
  <c r="E75" i="19"/>
  <c r="L75" i="19"/>
  <c r="M74" i="19"/>
  <c r="N74" i="19" s="1"/>
  <c r="O72" i="19"/>
  <c r="C72" i="27" l="1"/>
  <c r="B73" i="27"/>
  <c r="H73" i="19"/>
  <c r="E76" i="19"/>
  <c r="F75" i="19"/>
  <c r="G75" i="19" s="1"/>
  <c r="O73" i="19"/>
  <c r="L76" i="19"/>
  <c r="M75" i="19"/>
  <c r="N75" i="19" s="1"/>
  <c r="C73" i="27" l="1"/>
  <c r="B74" i="27"/>
  <c r="H74" i="19"/>
  <c r="F76" i="19"/>
  <c r="G76" i="19" s="1"/>
  <c r="E77" i="19"/>
  <c r="O74" i="19"/>
  <c r="L77" i="19"/>
  <c r="M76" i="19"/>
  <c r="N76" i="19" s="1"/>
  <c r="B75" i="27" l="1"/>
  <c r="C74" i="27"/>
  <c r="H75" i="19"/>
  <c r="F77" i="19"/>
  <c r="G77" i="19" s="1"/>
  <c r="E78" i="19"/>
  <c r="L78" i="19"/>
  <c r="M77" i="19"/>
  <c r="N77" i="19" s="1"/>
  <c r="O75" i="19"/>
  <c r="C75" i="27" l="1"/>
  <c r="B76" i="27"/>
  <c r="H76" i="19"/>
  <c r="E79" i="19"/>
  <c r="F78" i="19"/>
  <c r="G78" i="19" s="1"/>
  <c r="M78" i="19"/>
  <c r="N78" i="19" s="1"/>
  <c r="L79" i="19"/>
  <c r="O76" i="19"/>
  <c r="B77" i="27" l="1"/>
  <c r="C76" i="27"/>
  <c r="H77" i="19"/>
  <c r="F79" i="19"/>
  <c r="G79" i="19" s="1"/>
  <c r="E80" i="19"/>
  <c r="M79" i="19"/>
  <c r="N79" i="19" s="1"/>
  <c r="L80" i="19"/>
  <c r="O77" i="19"/>
  <c r="B78" i="27" l="1"/>
  <c r="C77" i="27"/>
  <c r="H78" i="19"/>
  <c r="F80" i="19"/>
  <c r="G80" i="19" s="1"/>
  <c r="E81" i="19"/>
  <c r="M80" i="19"/>
  <c r="N80" i="19" s="1"/>
  <c r="L81" i="19"/>
  <c r="O78" i="19"/>
  <c r="B79" i="27" l="1"/>
  <c r="C78" i="27"/>
  <c r="H79" i="19"/>
  <c r="F81" i="19"/>
  <c r="G81" i="19" s="1"/>
  <c r="E82" i="19"/>
  <c r="O79" i="19"/>
  <c r="L82" i="19"/>
  <c r="M81" i="19"/>
  <c r="N81" i="19" s="1"/>
  <c r="B80" i="27" l="1"/>
  <c r="C79" i="27"/>
  <c r="H80" i="19"/>
  <c r="E83" i="19"/>
  <c r="F82" i="19"/>
  <c r="G82" i="19" s="1"/>
  <c r="O80" i="19"/>
  <c r="L83" i="19"/>
  <c r="M82" i="19"/>
  <c r="N82" i="19" s="1"/>
  <c r="C80" i="27" l="1"/>
  <c r="B81" i="27"/>
  <c r="F83" i="19"/>
  <c r="G83" i="19" s="1"/>
  <c r="E84" i="19"/>
  <c r="H81" i="19"/>
  <c r="L84" i="19"/>
  <c r="M83" i="19"/>
  <c r="N83" i="19" s="1"/>
  <c r="O81" i="19"/>
  <c r="C81" i="27" l="1"/>
  <c r="B82" i="27"/>
  <c r="F84" i="19"/>
  <c r="G84" i="19" s="1"/>
  <c r="H83" i="19" s="1"/>
  <c r="E85" i="19"/>
  <c r="H82" i="19"/>
  <c r="O82" i="19"/>
  <c r="L85" i="19"/>
  <c r="M84" i="19"/>
  <c r="N84" i="19" s="1"/>
  <c r="C82" i="27" l="1"/>
  <c r="B83" i="27"/>
  <c r="E86" i="19"/>
  <c r="F85" i="19"/>
  <c r="G85" i="19" s="1"/>
  <c r="O83" i="19"/>
  <c r="M85" i="19"/>
  <c r="N85" i="19" s="1"/>
  <c r="L86" i="19"/>
  <c r="B84" i="27" l="1"/>
  <c r="C83" i="27"/>
  <c r="H84" i="19"/>
  <c r="E87" i="19"/>
  <c r="F86" i="19"/>
  <c r="G86" i="19" s="1"/>
  <c r="O84" i="19"/>
  <c r="M86" i="19"/>
  <c r="N86" i="19" s="1"/>
  <c r="L87" i="19"/>
  <c r="C84" i="27" l="1"/>
  <c r="B85" i="27"/>
  <c r="H85" i="19"/>
  <c r="E88" i="19"/>
  <c r="F87" i="19"/>
  <c r="G87" i="19" s="1"/>
  <c r="O85" i="19"/>
  <c r="M87" i="19"/>
  <c r="N87" i="19" s="1"/>
  <c r="L88" i="19"/>
  <c r="C85" i="27" l="1"/>
  <c r="B86" i="27"/>
  <c r="H86" i="19"/>
  <c r="F88" i="19"/>
  <c r="G88" i="19" s="1"/>
  <c r="E89" i="19"/>
  <c r="O86" i="19"/>
  <c r="L89" i="19"/>
  <c r="M88" i="19"/>
  <c r="N88" i="19" s="1"/>
  <c r="C86" i="27" l="1"/>
  <c r="B87" i="27"/>
  <c r="H87" i="19"/>
  <c r="F89" i="19"/>
  <c r="G89" i="19" s="1"/>
  <c r="E90" i="19"/>
  <c r="M89" i="19"/>
  <c r="N89" i="19" s="1"/>
  <c r="L90" i="19"/>
  <c r="O87" i="19"/>
  <c r="B88" i="27" l="1"/>
  <c r="C87" i="27"/>
  <c r="H88" i="19"/>
  <c r="E91" i="19"/>
  <c r="F90" i="19"/>
  <c r="G90" i="19" s="1"/>
  <c r="L91" i="19"/>
  <c r="M90" i="19"/>
  <c r="N90" i="19" s="1"/>
  <c r="O88" i="19"/>
  <c r="B89" i="27" l="1"/>
  <c r="C88" i="27"/>
  <c r="E92" i="19"/>
  <c r="F91" i="19"/>
  <c r="G91" i="19" s="1"/>
  <c r="H89" i="19"/>
  <c r="O89" i="19"/>
  <c r="M91" i="19"/>
  <c r="N91" i="19" s="1"/>
  <c r="L92" i="19"/>
  <c r="B90" i="27" l="1"/>
  <c r="C89" i="27"/>
  <c r="H90" i="19"/>
  <c r="F92" i="19"/>
  <c r="G92" i="19" s="1"/>
  <c r="E93" i="19"/>
  <c r="O90" i="19"/>
  <c r="L93" i="19"/>
  <c r="M92" i="19"/>
  <c r="N92" i="19" s="1"/>
  <c r="C90" i="27" l="1"/>
  <c r="B91" i="27"/>
  <c r="H91" i="19"/>
  <c r="E94" i="19"/>
  <c r="F93" i="19"/>
  <c r="G93" i="19" s="1"/>
  <c r="L94" i="19"/>
  <c r="M93" i="19"/>
  <c r="N93" i="19" s="1"/>
  <c r="O91" i="19"/>
  <c r="C91" i="27" l="1"/>
  <c r="B92" i="27"/>
  <c r="H92" i="19"/>
  <c r="F94" i="19"/>
  <c r="G94" i="19" s="1"/>
  <c r="E95" i="19"/>
  <c r="O92" i="19"/>
  <c r="M94" i="19"/>
  <c r="N94" i="19" s="1"/>
  <c r="L95" i="19"/>
  <c r="C92" i="27" l="1"/>
  <c r="B93" i="27"/>
  <c r="H93" i="19"/>
  <c r="E96" i="19"/>
  <c r="F95" i="19"/>
  <c r="G95" i="19" s="1"/>
  <c r="L96" i="19"/>
  <c r="M95" i="19"/>
  <c r="N95" i="19" s="1"/>
  <c r="O94" i="19" s="1"/>
  <c r="O93" i="19"/>
  <c r="H94" i="19" l="1"/>
  <c r="F96" i="19"/>
  <c r="G96" i="19" s="1"/>
  <c r="E97" i="19"/>
  <c r="M96" i="19"/>
  <c r="N96" i="19" s="1"/>
  <c r="O95" i="19" s="1"/>
  <c r="L97" i="19"/>
  <c r="H95" i="19" l="1"/>
  <c r="E98" i="19"/>
  <c r="F97" i="19"/>
  <c r="G97" i="19" s="1"/>
  <c r="M97" i="19"/>
  <c r="N97" i="19" s="1"/>
  <c r="L98" i="19"/>
  <c r="H96" i="19" l="1"/>
  <c r="F98" i="19"/>
  <c r="G98" i="19" s="1"/>
  <c r="E99" i="19"/>
  <c r="O96" i="19"/>
  <c r="L99" i="19"/>
  <c r="M98" i="19"/>
  <c r="N98" i="19" s="1"/>
  <c r="H97" i="19" l="1"/>
  <c r="E100" i="19"/>
  <c r="F99" i="19"/>
  <c r="G99" i="19" s="1"/>
  <c r="O97" i="19"/>
  <c r="L100" i="19"/>
  <c r="M99" i="19"/>
  <c r="N99" i="19" s="1"/>
  <c r="H98" i="19" l="1"/>
  <c r="F100" i="19"/>
  <c r="G100" i="19" s="1"/>
  <c r="E101" i="19"/>
  <c r="O98" i="19"/>
  <c r="M100" i="19"/>
  <c r="N100" i="19" s="1"/>
  <c r="L101" i="19"/>
  <c r="F101" i="19" l="1"/>
  <c r="G101" i="19" s="1"/>
  <c r="E102" i="19"/>
  <c r="H99" i="19"/>
  <c r="O99" i="19"/>
  <c r="M101" i="19"/>
  <c r="N101" i="19" s="1"/>
  <c r="L102" i="19"/>
  <c r="H100" i="19" l="1"/>
  <c r="E103" i="19"/>
  <c r="F102" i="19"/>
  <c r="G102" i="19" s="1"/>
  <c r="O100" i="19"/>
  <c r="M102" i="19"/>
  <c r="N102" i="19" s="1"/>
  <c r="L103" i="19"/>
  <c r="H101" i="19" l="1"/>
  <c r="F103" i="19"/>
  <c r="G103" i="19" s="1"/>
  <c r="E104" i="19"/>
  <c r="O101" i="19"/>
  <c r="M103" i="19"/>
  <c r="N103" i="19" s="1"/>
  <c r="L104" i="19"/>
  <c r="H102" i="19" l="1"/>
  <c r="E105" i="19"/>
  <c r="F104" i="19"/>
  <c r="G104" i="19" s="1"/>
  <c r="O102" i="19"/>
  <c r="M104" i="19"/>
  <c r="N104" i="19" s="1"/>
  <c r="L105" i="19"/>
  <c r="F105" i="19" l="1"/>
  <c r="G105" i="19" s="1"/>
  <c r="E106" i="19"/>
  <c r="H103" i="19"/>
  <c r="O103" i="19"/>
  <c r="L106" i="19"/>
  <c r="M105" i="19"/>
  <c r="N105" i="19" s="1"/>
  <c r="H104" i="19" l="1"/>
  <c r="E107" i="19"/>
  <c r="F106" i="19"/>
  <c r="G106" i="19" s="1"/>
  <c r="O104" i="19"/>
  <c r="L107" i="19"/>
  <c r="M106" i="19"/>
  <c r="N106" i="19" s="1"/>
  <c r="F107" i="19" l="1"/>
  <c r="G107" i="19" s="1"/>
  <c r="E108" i="19"/>
  <c r="H105" i="19"/>
  <c r="O105" i="19"/>
  <c r="L108" i="19"/>
  <c r="M107" i="19"/>
  <c r="N107" i="19" s="1"/>
  <c r="E109" i="19" l="1"/>
  <c r="F108" i="19"/>
  <c r="G108" i="19" s="1"/>
  <c r="H106" i="19"/>
  <c r="L109" i="19"/>
  <c r="M108" i="19"/>
  <c r="N108" i="19" s="1"/>
  <c r="O106" i="19"/>
  <c r="H107" i="19" l="1"/>
  <c r="F109" i="19"/>
  <c r="G109" i="19" s="1"/>
  <c r="E110" i="19"/>
  <c r="O107" i="19"/>
  <c r="L110" i="19"/>
  <c r="M109" i="19"/>
  <c r="N109" i="19" s="1"/>
  <c r="H108" i="19" l="1"/>
  <c r="E111" i="19"/>
  <c r="F110" i="19"/>
  <c r="G110" i="19" s="1"/>
  <c r="O108" i="19"/>
  <c r="L111" i="19"/>
  <c r="M110" i="19"/>
  <c r="N110" i="19" s="1"/>
  <c r="H109" i="19" l="1"/>
  <c r="E112" i="19"/>
  <c r="F111" i="19"/>
  <c r="G111" i="19" s="1"/>
  <c r="M111" i="19"/>
  <c r="N111" i="19" s="1"/>
  <c r="L112" i="19"/>
  <c r="O109" i="19"/>
  <c r="H110" i="19" l="1"/>
  <c r="F112" i="19"/>
  <c r="G112" i="19" s="1"/>
  <c r="E113" i="19"/>
  <c r="O110" i="19"/>
  <c r="M112" i="19"/>
  <c r="N112" i="19" s="1"/>
  <c r="L113" i="19"/>
  <c r="E114" i="19" l="1"/>
  <c r="F113" i="19"/>
  <c r="G113" i="19" s="1"/>
  <c r="H111" i="19"/>
  <c r="O111" i="19"/>
  <c r="L114" i="19"/>
  <c r="M113" i="19"/>
  <c r="N113" i="19" s="1"/>
  <c r="H112" i="19" l="1"/>
  <c r="E115" i="19"/>
  <c r="F114" i="19"/>
  <c r="G114" i="19" s="1"/>
  <c r="O112" i="19"/>
  <c r="M114" i="19"/>
  <c r="N114" i="19" s="1"/>
  <c r="L115" i="19"/>
  <c r="F115" i="19" l="1"/>
  <c r="G115" i="19" s="1"/>
  <c r="E116" i="19"/>
  <c r="H113" i="19"/>
  <c r="O113" i="19"/>
  <c r="M115" i="19"/>
  <c r="N115" i="19" s="1"/>
  <c r="L116" i="19"/>
  <c r="H114" i="19" l="1"/>
  <c r="F116" i="19"/>
  <c r="G116" i="19" s="1"/>
  <c r="E117" i="19"/>
  <c r="O114" i="19"/>
  <c r="M116" i="19"/>
  <c r="N116" i="19" s="1"/>
  <c r="L117" i="19"/>
  <c r="H115" i="19" l="1"/>
  <c r="E118" i="19"/>
  <c r="F117" i="19"/>
  <c r="G117" i="19" s="1"/>
  <c r="O115" i="19"/>
  <c r="L118" i="19"/>
  <c r="M117" i="19"/>
  <c r="N117" i="19" s="1"/>
  <c r="H116" i="19" l="1"/>
  <c r="F118" i="19"/>
  <c r="G118" i="19" s="1"/>
  <c r="E119" i="19"/>
  <c r="O116" i="19"/>
  <c r="M118" i="19"/>
  <c r="N118" i="19" s="1"/>
  <c r="L119" i="19"/>
  <c r="H117" i="19" l="1"/>
  <c r="F119" i="19"/>
  <c r="G119" i="19" s="1"/>
  <c r="E120" i="19"/>
  <c r="O117" i="19"/>
  <c r="L120" i="19"/>
  <c r="M119" i="19"/>
  <c r="N119" i="19" s="1"/>
  <c r="H118" i="19" l="1"/>
  <c r="F120" i="19"/>
  <c r="G120" i="19" s="1"/>
  <c r="E121" i="19"/>
  <c r="L121" i="19"/>
  <c r="M120" i="19"/>
  <c r="N120" i="19" s="1"/>
  <c r="O118" i="19"/>
  <c r="H119" i="19" l="1"/>
  <c r="E122" i="19"/>
  <c r="F121" i="19"/>
  <c r="G121" i="19" s="1"/>
  <c r="O119" i="19"/>
  <c r="L122" i="19"/>
  <c r="M121" i="19"/>
  <c r="N121" i="19" s="1"/>
  <c r="F122" i="19" l="1"/>
  <c r="G122" i="19" s="1"/>
  <c r="E123" i="19"/>
  <c r="H120" i="19"/>
  <c r="O120" i="19"/>
  <c r="L123" i="19"/>
  <c r="M122" i="19"/>
  <c r="N122" i="19" s="1"/>
  <c r="E124" i="19" l="1"/>
  <c r="F123" i="19"/>
  <c r="G123" i="19" s="1"/>
  <c r="H121" i="19"/>
  <c r="M123" i="19"/>
  <c r="N123" i="19" s="1"/>
  <c r="L124" i="19"/>
  <c r="O121" i="19"/>
  <c r="H122" i="19" l="1"/>
  <c r="F124" i="19"/>
  <c r="G124" i="19" s="1"/>
  <c r="E125" i="19"/>
  <c r="O122" i="19"/>
  <c r="L125" i="19"/>
  <c r="M124" i="19"/>
  <c r="N124" i="19" s="1"/>
  <c r="H123" i="19" l="1"/>
  <c r="F125" i="19"/>
  <c r="G125" i="19" s="1"/>
  <c r="E126" i="19"/>
  <c r="L126" i="19"/>
  <c r="M125" i="19"/>
  <c r="N125" i="19" s="1"/>
  <c r="O123" i="19"/>
  <c r="H124" i="19" l="1"/>
  <c r="E127" i="19"/>
  <c r="F126" i="19"/>
  <c r="G126" i="19" s="1"/>
  <c r="O124" i="19"/>
  <c r="M126" i="19"/>
  <c r="N126" i="19" s="1"/>
  <c r="L127" i="19"/>
  <c r="H125" i="19" l="1"/>
  <c r="F127" i="19"/>
  <c r="G127" i="19" s="1"/>
  <c r="E128" i="19"/>
  <c r="O125" i="19"/>
  <c r="L128" i="19"/>
  <c r="M127" i="19"/>
  <c r="N127" i="19" s="1"/>
  <c r="H126" i="19" l="1"/>
  <c r="F128" i="19"/>
  <c r="G128" i="19" s="1"/>
  <c r="E129" i="19"/>
  <c r="M128" i="19"/>
  <c r="N128" i="19" s="1"/>
  <c r="L129" i="19"/>
  <c r="O126" i="19"/>
  <c r="H127" i="19" l="1"/>
  <c r="F129" i="19"/>
  <c r="G129" i="19" s="1"/>
  <c r="E130" i="19"/>
  <c r="L130" i="19"/>
  <c r="M129" i="19"/>
  <c r="N129" i="19" s="1"/>
  <c r="O127" i="19"/>
  <c r="H128" i="19" l="1"/>
  <c r="E131" i="19"/>
  <c r="F130" i="19"/>
  <c r="G130" i="19" s="1"/>
  <c r="O128" i="19"/>
  <c r="M130" i="19"/>
  <c r="N130" i="19" s="1"/>
  <c r="L131" i="19"/>
  <c r="H129" i="19" l="1"/>
  <c r="F131" i="19"/>
  <c r="G131" i="19" s="1"/>
  <c r="E132" i="19"/>
  <c r="M131" i="19"/>
  <c r="N131" i="19" s="1"/>
  <c r="L132" i="19"/>
  <c r="O129" i="19"/>
  <c r="H130" i="19" l="1"/>
  <c r="F132" i="19"/>
  <c r="G132" i="19" s="1"/>
  <c r="E133" i="19"/>
  <c r="L133" i="19"/>
  <c r="M132" i="19"/>
  <c r="N132" i="19" s="1"/>
  <c r="O130" i="19"/>
  <c r="H131" i="19" l="1"/>
  <c r="E134" i="19"/>
  <c r="F133" i="19"/>
  <c r="G133" i="19" s="1"/>
  <c r="O131" i="19"/>
  <c r="M133" i="19"/>
  <c r="N133" i="19" s="1"/>
  <c r="L134" i="19"/>
  <c r="H132" i="19" l="1"/>
  <c r="E135" i="19"/>
  <c r="F134" i="19"/>
  <c r="G134" i="19" s="1"/>
  <c r="O132" i="19"/>
  <c r="M134" i="19"/>
  <c r="N134" i="19" s="1"/>
  <c r="L135" i="19"/>
  <c r="H133" i="19" l="1"/>
  <c r="F135" i="19"/>
  <c r="G135" i="19" s="1"/>
  <c r="E136" i="19"/>
  <c r="O133" i="19"/>
  <c r="M135" i="19"/>
  <c r="N135" i="19" s="1"/>
  <c r="L136" i="19"/>
  <c r="H134" i="19" l="1"/>
  <c r="E137" i="19"/>
  <c r="F136" i="19"/>
  <c r="G136" i="19" s="1"/>
  <c r="O134" i="19"/>
  <c r="M136" i="19"/>
  <c r="N136" i="19" s="1"/>
  <c r="L137" i="19"/>
  <c r="E138" i="19" l="1"/>
  <c r="F137" i="19"/>
  <c r="G137" i="19" s="1"/>
  <c r="H135" i="19"/>
  <c r="O135" i="19"/>
  <c r="L138" i="19"/>
  <c r="M137" i="19"/>
  <c r="N137" i="19" s="1"/>
  <c r="H136" i="19" l="1"/>
  <c r="F138" i="19"/>
  <c r="G138" i="19" s="1"/>
  <c r="E139" i="19"/>
  <c r="L139" i="19"/>
  <c r="M138" i="19"/>
  <c r="N138" i="19" s="1"/>
  <c r="O136" i="19"/>
  <c r="H137" i="19" l="1"/>
  <c r="E140" i="19"/>
  <c r="F139" i="19"/>
  <c r="G139" i="19" s="1"/>
  <c r="O137" i="19"/>
  <c r="L140" i="19"/>
  <c r="M139" i="19"/>
  <c r="N139" i="19" s="1"/>
  <c r="F140" i="19" l="1"/>
  <c r="G140" i="19" s="1"/>
  <c r="E141" i="19"/>
  <c r="H138" i="19"/>
  <c r="O138" i="19"/>
  <c r="L141" i="19"/>
  <c r="M140" i="19"/>
  <c r="N140" i="19" s="1"/>
  <c r="H139" i="19" l="1"/>
  <c r="F141" i="19"/>
  <c r="G141" i="19" s="1"/>
  <c r="E142" i="19"/>
  <c r="O139" i="19"/>
  <c r="M141" i="19"/>
  <c r="N141" i="19" s="1"/>
  <c r="L142" i="19"/>
  <c r="H140" i="19" l="1"/>
  <c r="F142" i="19"/>
  <c r="G142" i="19" s="1"/>
  <c r="E143" i="19"/>
  <c r="M142" i="19"/>
  <c r="N142" i="19" s="1"/>
  <c r="O141" i="19" s="1"/>
  <c r="L143" i="19"/>
  <c r="O140" i="19"/>
  <c r="H141" i="19" l="1"/>
  <c r="F143" i="19"/>
  <c r="G143" i="19" s="1"/>
  <c r="E144" i="19"/>
  <c r="L144" i="19"/>
  <c r="M143" i="19"/>
  <c r="N143" i="19" s="1"/>
  <c r="H142" i="19" l="1"/>
  <c r="F144" i="19"/>
  <c r="G144" i="19" s="1"/>
  <c r="E145" i="19"/>
  <c r="O142" i="19"/>
  <c r="L145" i="19"/>
  <c r="M144" i="19"/>
  <c r="N144" i="19" s="1"/>
  <c r="H143" i="19" l="1"/>
  <c r="E146" i="19"/>
  <c r="F145" i="19"/>
  <c r="G145" i="19" s="1"/>
  <c r="O143" i="19"/>
  <c r="L146" i="19"/>
  <c r="M145" i="19"/>
  <c r="N145" i="19" s="1"/>
  <c r="E147" i="19" l="1"/>
  <c r="F146" i="19"/>
  <c r="G146" i="19" s="1"/>
  <c r="H144" i="19"/>
  <c r="O144" i="19"/>
  <c r="L147" i="19"/>
  <c r="M146" i="19"/>
  <c r="N146" i="19" s="1"/>
  <c r="H145" i="19" l="1"/>
  <c r="E148" i="19"/>
  <c r="F147" i="19"/>
  <c r="G147" i="19" s="1"/>
  <c r="M147" i="19"/>
  <c r="N147" i="19" s="1"/>
  <c r="L148" i="19"/>
  <c r="O145" i="19"/>
  <c r="H146" i="19" l="1"/>
  <c r="E149" i="19"/>
  <c r="F148" i="19"/>
  <c r="G148" i="19" s="1"/>
  <c r="M148" i="19"/>
  <c r="N148" i="19" s="1"/>
  <c r="L149" i="19"/>
  <c r="O146" i="19"/>
  <c r="E150" i="19" l="1"/>
  <c r="F149" i="19"/>
  <c r="G149" i="19" s="1"/>
  <c r="H147" i="19"/>
  <c r="L150" i="19"/>
  <c r="M149" i="19"/>
  <c r="N149" i="19" s="1"/>
  <c r="O147" i="19"/>
  <c r="H148" i="19" l="1"/>
  <c r="F150" i="19"/>
  <c r="G150" i="19" s="1"/>
  <c r="E151" i="19"/>
  <c r="O148" i="19"/>
  <c r="M150" i="19"/>
  <c r="N150" i="19" s="1"/>
  <c r="L151" i="19"/>
  <c r="H149" i="19" l="1"/>
  <c r="F151" i="19"/>
  <c r="G151" i="19" s="1"/>
  <c r="E152" i="19"/>
  <c r="O149" i="19"/>
  <c r="M151" i="19"/>
  <c r="N151" i="19" s="1"/>
  <c r="L152" i="19"/>
  <c r="H150" i="19" l="1"/>
  <c r="F152" i="19"/>
  <c r="G152" i="19" s="1"/>
  <c r="E153" i="19"/>
  <c r="M152" i="19"/>
  <c r="N152" i="19" s="1"/>
  <c r="L153" i="19"/>
  <c r="O150" i="19"/>
  <c r="H151" i="19" l="1"/>
  <c r="F153" i="19"/>
  <c r="G153" i="19" s="1"/>
  <c r="E154" i="19"/>
  <c r="M153" i="19"/>
  <c r="N153" i="19" s="1"/>
  <c r="L154" i="19"/>
  <c r="O151" i="19"/>
  <c r="H152" i="19" l="1"/>
  <c r="F154" i="19"/>
  <c r="G154" i="19" s="1"/>
  <c r="E155" i="19"/>
  <c r="O152" i="19"/>
  <c r="M154" i="19"/>
  <c r="N154" i="19" s="1"/>
  <c r="L155" i="19"/>
  <c r="H153" i="19" l="1"/>
  <c r="E156" i="19"/>
  <c r="F155" i="19"/>
  <c r="G155" i="19" s="1"/>
  <c r="L156" i="19"/>
  <c r="M155" i="19"/>
  <c r="N155" i="19" s="1"/>
  <c r="O153" i="19"/>
  <c r="H154" i="19" l="1"/>
  <c r="F156" i="19"/>
  <c r="G156" i="19" s="1"/>
  <c r="E157" i="19"/>
  <c r="O154" i="19"/>
  <c r="L157" i="19"/>
  <c r="M156" i="19"/>
  <c r="N156" i="19" s="1"/>
  <c r="H155" i="19" l="1"/>
  <c r="F157" i="19"/>
  <c r="G157" i="19" s="1"/>
  <c r="E158" i="19"/>
  <c r="O155" i="19"/>
  <c r="L158" i="19"/>
  <c r="M157" i="19"/>
  <c r="N157" i="19" s="1"/>
  <c r="H156" i="19" l="1"/>
  <c r="E159" i="19"/>
  <c r="F158" i="19"/>
  <c r="G158" i="19" s="1"/>
  <c r="O156" i="19"/>
  <c r="L159" i="19"/>
  <c r="M158" i="19"/>
  <c r="N158" i="19" s="1"/>
  <c r="E160" i="19" l="1"/>
  <c r="F159" i="19"/>
  <c r="G159" i="19" s="1"/>
  <c r="H157" i="19"/>
  <c r="M159" i="19"/>
  <c r="N159" i="19" s="1"/>
  <c r="L160" i="19"/>
  <c r="O157" i="19"/>
  <c r="H158" i="19" l="1"/>
  <c r="E161" i="19"/>
  <c r="F160" i="19"/>
  <c r="G160" i="19" s="1"/>
  <c r="O158" i="19"/>
  <c r="M160" i="19"/>
  <c r="N160" i="19" s="1"/>
  <c r="L161" i="19"/>
  <c r="H159" i="19" l="1"/>
  <c r="E162" i="19"/>
  <c r="F161" i="19"/>
  <c r="G161" i="19" s="1"/>
  <c r="O159" i="19"/>
  <c r="L162" i="19"/>
  <c r="M161" i="19"/>
  <c r="N161" i="19" s="1"/>
  <c r="H160" i="19" l="1"/>
  <c r="F162" i="19"/>
  <c r="G162" i="19" s="1"/>
  <c r="E163" i="19"/>
  <c r="M162" i="19"/>
  <c r="N162" i="19" s="1"/>
  <c r="L163" i="19"/>
  <c r="O160" i="19"/>
  <c r="H161" i="19" l="1"/>
  <c r="F163" i="19"/>
  <c r="G163" i="19" s="1"/>
  <c r="H162" i="19" s="1"/>
  <c r="E164" i="19"/>
  <c r="M163" i="19"/>
  <c r="N163" i="19" s="1"/>
  <c r="L164" i="19"/>
  <c r="O161" i="19"/>
  <c r="F164" i="19" l="1"/>
  <c r="G164" i="19" s="1"/>
  <c r="E165" i="19"/>
  <c r="L165" i="19"/>
  <c r="M164" i="19"/>
  <c r="N164" i="19" s="1"/>
  <c r="O162" i="19"/>
  <c r="H163" i="19" l="1"/>
  <c r="F165" i="19"/>
  <c r="G165" i="19" s="1"/>
  <c r="E166" i="19"/>
  <c r="O163" i="19"/>
  <c r="M165" i="19"/>
  <c r="N165" i="19" s="1"/>
  <c r="L166" i="19"/>
  <c r="E167" i="19" l="1"/>
  <c r="F166" i="19"/>
  <c r="G166" i="19" s="1"/>
  <c r="H164" i="19"/>
  <c r="O164" i="19"/>
  <c r="M166" i="19"/>
  <c r="N166" i="19" s="1"/>
  <c r="L167" i="19"/>
  <c r="H165" i="19" l="1"/>
  <c r="F167" i="19"/>
  <c r="G167" i="19" s="1"/>
  <c r="E168" i="19"/>
  <c r="O165" i="19"/>
  <c r="L168" i="19"/>
  <c r="M167" i="19"/>
  <c r="N167" i="19" s="1"/>
  <c r="H166" i="19" l="1"/>
  <c r="E169" i="19"/>
  <c r="F168" i="19"/>
  <c r="G168" i="19" s="1"/>
  <c r="L169" i="19"/>
  <c r="M168" i="19"/>
  <c r="N168" i="19" s="1"/>
  <c r="O166" i="19"/>
  <c r="H167" i="19" l="1"/>
  <c r="F169" i="19"/>
  <c r="G169" i="19" s="1"/>
  <c r="E170" i="19"/>
  <c r="O167" i="19"/>
  <c r="L170" i="19"/>
  <c r="M169" i="19"/>
  <c r="N169" i="19" s="1"/>
  <c r="F170" i="19" l="1"/>
  <c r="G170" i="19" s="1"/>
  <c r="E171" i="19"/>
  <c r="H168" i="19"/>
  <c r="O168" i="19"/>
  <c r="M170" i="19"/>
  <c r="N170" i="19" s="1"/>
  <c r="L171" i="19"/>
  <c r="E172" i="19" l="1"/>
  <c r="F171" i="19"/>
  <c r="G171" i="19" s="1"/>
  <c r="H169" i="19"/>
  <c r="M171" i="19"/>
  <c r="N171" i="19" s="1"/>
  <c r="L172" i="19"/>
  <c r="O169" i="19"/>
  <c r="H170" i="19" l="1"/>
  <c r="E173" i="19"/>
  <c r="F172" i="19"/>
  <c r="G172" i="19" s="1"/>
  <c r="M172" i="19"/>
  <c r="N172" i="19" s="1"/>
  <c r="L173" i="19"/>
  <c r="O170" i="19"/>
  <c r="H171" i="19" l="1"/>
  <c r="F173" i="19"/>
  <c r="G173" i="19" s="1"/>
  <c r="E174" i="19"/>
  <c r="M173" i="19"/>
  <c r="N173" i="19" s="1"/>
  <c r="L174" i="19"/>
  <c r="O171" i="19"/>
  <c r="F174" i="19" l="1"/>
  <c r="G174" i="19" s="1"/>
  <c r="E175" i="19"/>
  <c r="H172" i="19"/>
  <c r="O172" i="19"/>
  <c r="M174" i="19"/>
  <c r="N174" i="19" s="1"/>
  <c r="L175" i="19"/>
  <c r="E176" i="19" l="1"/>
  <c r="F175" i="19"/>
  <c r="G175" i="19" s="1"/>
  <c r="H173" i="19"/>
  <c r="O173" i="19"/>
  <c r="M175" i="19"/>
  <c r="N175" i="19" s="1"/>
  <c r="L176" i="19"/>
  <c r="H174" i="19" l="1"/>
  <c r="F176" i="19"/>
  <c r="G176" i="19" s="1"/>
  <c r="E177" i="19"/>
  <c r="L177" i="19"/>
  <c r="M176" i="19"/>
  <c r="N176" i="19" s="1"/>
  <c r="O174" i="19"/>
  <c r="H175" i="19" l="1"/>
  <c r="E178" i="19"/>
  <c r="F177" i="19"/>
  <c r="G177" i="19" s="1"/>
  <c r="O175" i="19"/>
  <c r="M177" i="19"/>
  <c r="N177" i="19" s="1"/>
  <c r="L178" i="19"/>
  <c r="H176" i="19" l="1"/>
  <c r="F178" i="19"/>
  <c r="G178" i="19" s="1"/>
  <c r="E179" i="19"/>
  <c r="O176" i="19"/>
  <c r="L179" i="19"/>
  <c r="M178" i="19"/>
  <c r="N178" i="19" s="1"/>
  <c r="H177" i="19" l="1"/>
  <c r="E180" i="19"/>
  <c r="F179" i="19"/>
  <c r="G179" i="19" s="1"/>
  <c r="M179" i="19"/>
  <c r="N179" i="19" s="1"/>
  <c r="L180" i="19"/>
  <c r="O177" i="19"/>
  <c r="H178" i="19" l="1"/>
  <c r="F180" i="19"/>
  <c r="G180" i="19" s="1"/>
  <c r="E181" i="19"/>
  <c r="O178" i="19"/>
  <c r="M180" i="19"/>
  <c r="N180" i="19" s="1"/>
  <c r="L181" i="19"/>
  <c r="H179" i="19" l="1"/>
  <c r="E182" i="19"/>
  <c r="F181" i="19"/>
  <c r="G181" i="19" s="1"/>
  <c r="O179" i="19"/>
  <c r="M181" i="19"/>
  <c r="N181" i="19" s="1"/>
  <c r="L182" i="19"/>
  <c r="H180" i="19" l="1"/>
  <c r="E183" i="19"/>
  <c r="F182" i="19"/>
  <c r="G182" i="19" s="1"/>
  <c r="M182" i="19"/>
  <c r="N182" i="19" s="1"/>
  <c r="L183" i="19"/>
  <c r="O180" i="19"/>
  <c r="H181" i="19" l="1"/>
  <c r="F183" i="19"/>
  <c r="G183" i="19" s="1"/>
  <c r="E184" i="19"/>
  <c r="L184" i="19"/>
  <c r="M183" i="19"/>
  <c r="N183" i="19" s="1"/>
  <c r="O181" i="19"/>
  <c r="F184" i="19" l="1"/>
  <c r="G184" i="19" s="1"/>
  <c r="H183" i="19" s="1"/>
  <c r="E185" i="19"/>
  <c r="H182" i="19"/>
  <c r="O182" i="19"/>
  <c r="L185" i="19"/>
  <c r="M184" i="19"/>
  <c r="N184" i="19" s="1"/>
  <c r="F185" i="19" l="1"/>
  <c r="G185" i="19" s="1"/>
  <c r="H184" i="19" s="1"/>
  <c r="E186" i="19"/>
  <c r="M185" i="19"/>
  <c r="N185" i="19" s="1"/>
  <c r="L186" i="19"/>
  <c r="O183" i="19"/>
  <c r="F186" i="19" l="1"/>
  <c r="G186" i="19" s="1"/>
  <c r="E187" i="19"/>
  <c r="O184" i="19"/>
  <c r="L187" i="19"/>
  <c r="M186" i="19"/>
  <c r="N186" i="19" s="1"/>
  <c r="H185" i="19" l="1"/>
  <c r="F187" i="19"/>
  <c r="G187" i="19" s="1"/>
  <c r="E188" i="19"/>
  <c r="O185" i="19"/>
  <c r="M187" i="19"/>
  <c r="N187" i="19" s="1"/>
  <c r="L188" i="19"/>
  <c r="H186" i="19" l="1"/>
  <c r="E189" i="19"/>
  <c r="F188" i="19"/>
  <c r="G188" i="19" s="1"/>
  <c r="M188" i="19"/>
  <c r="N188" i="19" s="1"/>
  <c r="L189" i="19"/>
  <c r="O186" i="19"/>
  <c r="F189" i="19" l="1"/>
  <c r="G189" i="19" s="1"/>
  <c r="E190" i="19"/>
  <c r="H187" i="19"/>
  <c r="O187" i="19"/>
  <c r="M189" i="19"/>
  <c r="N189" i="19" s="1"/>
  <c r="L190" i="19"/>
  <c r="F190" i="19" l="1"/>
  <c r="G190" i="19" s="1"/>
  <c r="E191" i="19"/>
  <c r="H188" i="19"/>
  <c r="O188" i="19"/>
  <c r="M190" i="19"/>
  <c r="N190" i="19" s="1"/>
  <c r="L191" i="19"/>
  <c r="H189" i="19" l="1"/>
  <c r="F191" i="19"/>
  <c r="G191" i="19" s="1"/>
  <c r="E192" i="19"/>
  <c r="M191" i="19"/>
  <c r="N191" i="19" s="1"/>
  <c r="O190" i="19" s="1"/>
  <c r="L192" i="19"/>
  <c r="O189" i="19"/>
  <c r="H190" i="19" l="1"/>
  <c r="E193" i="19"/>
  <c r="F192" i="19"/>
  <c r="G192" i="19" s="1"/>
  <c r="M192" i="19"/>
  <c r="N192" i="19" s="1"/>
  <c r="L193" i="19"/>
  <c r="E194" i="19" l="1"/>
  <c r="F193" i="19"/>
  <c r="G193" i="19" s="1"/>
  <c r="H191" i="19"/>
  <c r="O191" i="19"/>
  <c r="M193" i="19"/>
  <c r="N193" i="19" s="1"/>
  <c r="L194" i="19"/>
  <c r="H192" i="19" l="1"/>
  <c r="E195" i="19"/>
  <c r="F194" i="19"/>
  <c r="G194" i="19" s="1"/>
  <c r="O192" i="19"/>
  <c r="L195" i="19"/>
  <c r="M194" i="19"/>
  <c r="N194" i="19" s="1"/>
  <c r="E196" i="19" l="1"/>
  <c r="F195" i="19"/>
  <c r="G195" i="19" s="1"/>
  <c r="H193" i="19"/>
  <c r="M195" i="19"/>
  <c r="N195" i="19" s="1"/>
  <c r="L196" i="19"/>
  <c r="O193" i="19"/>
  <c r="H194" i="19" l="1"/>
  <c r="F196" i="19"/>
  <c r="G196" i="19" s="1"/>
  <c r="E197" i="19"/>
  <c r="O194" i="19"/>
  <c r="L197" i="19"/>
  <c r="M196" i="19"/>
  <c r="N196" i="19" s="1"/>
  <c r="H195" i="19" l="1"/>
  <c r="E198" i="19"/>
  <c r="F197" i="19"/>
  <c r="G197" i="19" s="1"/>
  <c r="M197" i="19"/>
  <c r="N197" i="19" s="1"/>
  <c r="O196" i="19" s="1"/>
  <c r="L198" i="19"/>
  <c r="O195" i="19"/>
  <c r="H196" i="19" l="1"/>
  <c r="E199" i="19"/>
  <c r="F198" i="19"/>
  <c r="G198" i="19" s="1"/>
  <c r="M198" i="19"/>
  <c r="N198" i="19" s="1"/>
  <c r="L199" i="19"/>
  <c r="F199" i="19" l="1"/>
  <c r="G199" i="19" s="1"/>
  <c r="E200" i="19"/>
  <c r="H197" i="19"/>
  <c r="L200" i="19"/>
  <c r="M199" i="19"/>
  <c r="N199" i="19" s="1"/>
  <c r="O197" i="19"/>
  <c r="F200" i="19" l="1"/>
  <c r="G200" i="19" s="1"/>
  <c r="E201" i="19"/>
  <c r="H198" i="19"/>
  <c r="O198" i="19"/>
  <c r="L201" i="19"/>
  <c r="M200" i="19"/>
  <c r="N200" i="19" s="1"/>
  <c r="H199" i="19" l="1"/>
  <c r="E202" i="19"/>
  <c r="F201" i="19"/>
  <c r="G201" i="19" s="1"/>
  <c r="L202" i="19"/>
  <c r="M201" i="19"/>
  <c r="N201" i="19" s="1"/>
  <c r="O199" i="19"/>
  <c r="H200" i="19" l="1"/>
  <c r="F202" i="19"/>
  <c r="G202" i="19" s="1"/>
  <c r="E203" i="19"/>
  <c r="O200" i="19"/>
  <c r="M202" i="19"/>
  <c r="N202" i="19" s="1"/>
  <c r="L203" i="19"/>
  <c r="H201" i="19" l="1"/>
  <c r="F203" i="19"/>
  <c r="G203" i="19" s="1"/>
  <c r="E204" i="19"/>
  <c r="O201" i="19"/>
  <c r="L204" i="19"/>
  <c r="M203" i="19"/>
  <c r="N203" i="19" s="1"/>
  <c r="H202" i="19" l="1"/>
  <c r="E205" i="19"/>
  <c r="F204" i="19"/>
  <c r="G204" i="19" s="1"/>
  <c r="O202" i="19"/>
  <c r="L205" i="19"/>
  <c r="M204" i="19"/>
  <c r="N204" i="19" s="1"/>
  <c r="H203" i="19" l="1"/>
  <c r="F205" i="19"/>
  <c r="G205" i="19" s="1"/>
  <c r="E206" i="19"/>
  <c r="O203" i="19"/>
  <c r="L206" i="19"/>
  <c r="M205" i="19"/>
  <c r="N205" i="19" s="1"/>
  <c r="E207" i="19" l="1"/>
  <c r="F206" i="19"/>
  <c r="G206" i="19" s="1"/>
  <c r="H204" i="19"/>
  <c r="M206" i="19"/>
  <c r="N206" i="19" s="1"/>
  <c r="L207" i="19"/>
  <c r="O204" i="19"/>
  <c r="H205" i="19" l="1"/>
  <c r="E208" i="19"/>
  <c r="F207" i="19"/>
  <c r="G207" i="19" s="1"/>
  <c r="M207" i="19"/>
  <c r="N207" i="19" s="1"/>
  <c r="L208" i="19"/>
  <c r="O205" i="19"/>
  <c r="H206" i="19" l="1"/>
  <c r="E209" i="19"/>
  <c r="F208" i="19"/>
  <c r="G208" i="19" s="1"/>
  <c r="O206" i="19"/>
  <c r="L209" i="19"/>
  <c r="M208" i="19"/>
  <c r="N208" i="19" s="1"/>
  <c r="H207" i="19" l="1"/>
  <c r="E210" i="19"/>
  <c r="F209" i="19"/>
  <c r="G209" i="19" s="1"/>
  <c r="L210" i="19"/>
  <c r="M209" i="19"/>
  <c r="N209" i="19" s="1"/>
  <c r="O207" i="19"/>
  <c r="H208" i="19" l="1"/>
  <c r="F210" i="19"/>
  <c r="G210" i="19" s="1"/>
  <c r="E211" i="19"/>
  <c r="O208" i="19"/>
  <c r="L211" i="19"/>
  <c r="M210" i="19"/>
  <c r="N210" i="19" s="1"/>
  <c r="H209" i="19" l="1"/>
  <c r="F211" i="19"/>
  <c r="G211" i="19" s="1"/>
  <c r="E212" i="19"/>
  <c r="O209" i="19"/>
  <c r="M211" i="19"/>
  <c r="N211" i="19" s="1"/>
  <c r="L212" i="19"/>
  <c r="F212" i="19" l="1"/>
  <c r="G212" i="19" s="1"/>
  <c r="E213" i="19"/>
  <c r="H210" i="19"/>
  <c r="L213" i="19"/>
  <c r="M212" i="19"/>
  <c r="N212" i="19" s="1"/>
  <c r="O210" i="19"/>
  <c r="E214" i="19" l="1"/>
  <c r="F213" i="19"/>
  <c r="G213" i="19" s="1"/>
  <c r="H211" i="19"/>
  <c r="O211" i="19"/>
  <c r="M213" i="19"/>
  <c r="N213" i="19" s="1"/>
  <c r="L214" i="19"/>
  <c r="H212" i="19" l="1"/>
  <c r="F214" i="19"/>
  <c r="G214" i="19" s="1"/>
  <c r="E215" i="19"/>
  <c r="M214" i="19"/>
  <c r="N214" i="19" s="1"/>
  <c r="L215" i="19"/>
  <c r="O212" i="19"/>
  <c r="E216" i="19" l="1"/>
  <c r="F215" i="19"/>
  <c r="G215" i="19" s="1"/>
  <c r="H213" i="19"/>
  <c r="L216" i="19"/>
  <c r="M215" i="19"/>
  <c r="N215" i="19" s="1"/>
  <c r="O213" i="19"/>
  <c r="H214" i="19" l="1"/>
  <c r="F216" i="19"/>
  <c r="G216" i="19" s="1"/>
  <c r="E217" i="19"/>
  <c r="O214" i="19"/>
  <c r="M216" i="19"/>
  <c r="N216" i="19" s="1"/>
  <c r="L217" i="19"/>
  <c r="H215" i="19" l="1"/>
  <c r="F217" i="19"/>
  <c r="G217" i="19" s="1"/>
  <c r="E218" i="19"/>
  <c r="M217" i="19"/>
  <c r="N217" i="19" s="1"/>
  <c r="L218" i="19"/>
  <c r="O215" i="19"/>
  <c r="H216" i="19" l="1"/>
  <c r="F218" i="19"/>
  <c r="G218" i="19" s="1"/>
  <c r="H217" i="19" s="1"/>
  <c r="F15" i="19" s="1"/>
  <c r="F16" i="19" s="1"/>
  <c r="F7" i="3" s="1"/>
  <c r="M218" i="19"/>
  <c r="N218" i="19" s="1"/>
  <c r="O217" i="19" s="1"/>
  <c r="O216" i="19"/>
  <c r="M74" i="3" l="1"/>
  <c r="M78" i="3" s="1"/>
  <c r="M70" i="3" s="1"/>
  <c r="M69" i="3"/>
  <c r="L74" i="3"/>
  <c r="L78" i="3" s="1"/>
  <c r="L70" i="3" s="1"/>
  <c r="E12" i="3"/>
  <c r="F12" i="3" s="1"/>
  <c r="E16" i="3"/>
  <c r="F16" i="3" s="1"/>
  <c r="L69" i="3"/>
  <c r="N21" i="3"/>
  <c r="L21" i="3"/>
  <c r="L26" i="3"/>
  <c r="L30" i="3" s="1"/>
  <c r="L22" i="3" s="1"/>
  <c r="M15" i="19"/>
  <c r="M16" i="19" s="1"/>
  <c r="K7" i="3" s="1"/>
  <c r="D14" i="2"/>
  <c r="C8" i="2" s="1"/>
  <c r="N26" i="3"/>
  <c r="N30" i="3" s="1"/>
  <c r="N22" i="3" s="1"/>
  <c r="C88" i="3"/>
  <c r="E88" i="3" s="1"/>
  <c r="G92" i="3"/>
  <c r="H92" i="3" s="1"/>
  <c r="J16" i="3" l="1"/>
  <c r="K16" i="3" s="1"/>
  <c r="J12" i="3"/>
  <c r="K12" i="3" s="1"/>
  <c r="N37" i="3"/>
  <c r="L53" i="3"/>
  <c r="L37" i="3"/>
  <c r="L14" i="2"/>
  <c r="L42" i="3"/>
  <c r="L46" i="3" s="1"/>
  <c r="L38" i="3" s="1"/>
  <c r="N42" i="3"/>
  <c r="N46" i="3" s="1"/>
  <c r="N38" i="3" s="1"/>
  <c r="L58" i="3"/>
  <c r="L62" i="3" s="1"/>
  <c r="L54" i="3" s="1"/>
  <c r="F13" i="2"/>
  <c r="H14" i="2"/>
  <c r="I14" i="2" s="1"/>
  <c r="F14" i="2"/>
  <c r="G14" i="2" s="1"/>
  <c r="H13" i="2"/>
  <c r="K8" i="2" l="1"/>
  <c r="P14" i="2" s="1"/>
  <c r="Q14" i="2" s="1"/>
  <c r="I13" i="2"/>
  <c r="G13" i="2"/>
  <c r="C19" i="2" s="1"/>
  <c r="D8" i="3" s="1"/>
  <c r="N14" i="2" l="1"/>
  <c r="O14" i="2" s="1"/>
  <c r="N13" i="2"/>
  <c r="O13" i="2" s="1"/>
  <c r="O12" i="2" s="1"/>
  <c r="P13" i="2"/>
  <c r="Q13" i="2" s="1"/>
  <c r="Q12" i="2" s="1"/>
  <c r="I12" i="2"/>
  <c r="D19" i="2"/>
  <c r="G12" i="2"/>
  <c r="K19" i="2" l="1"/>
  <c r="I8" i="3" s="1"/>
  <c r="L19" i="2"/>
  <c r="K8" i="3" s="1"/>
  <c r="J5" i="2"/>
  <c r="J6" i="2" s="1"/>
  <c r="J7" i="2" s="1"/>
  <c r="J8" i="2" s="1"/>
  <c r="F8" i="3"/>
  <c r="G19" i="2"/>
  <c r="H19" i="2" s="1"/>
  <c r="I19" i="2" s="1"/>
  <c r="J10" i="2"/>
  <c r="J11" i="2" s="1"/>
  <c r="R10" i="2" l="1"/>
  <c r="R11" i="2" s="1"/>
  <c r="O23" i="2" s="1"/>
  <c r="P23" i="2" s="1"/>
  <c r="R5" i="2"/>
  <c r="R6" i="2" s="1"/>
  <c r="R7" i="2" s="1"/>
  <c r="R8" i="2" s="1"/>
  <c r="O19" i="2"/>
  <c r="P19" i="2" s="1"/>
  <c r="Q19" i="2" s="1"/>
  <c r="J9" i="2"/>
  <c r="F21" i="2" s="1"/>
  <c r="I21" i="2" s="1"/>
  <c r="F23" i="2"/>
  <c r="G23" i="2"/>
  <c r="H23" i="2" s="1"/>
  <c r="N23" i="2" l="1"/>
  <c r="Q23" i="2" s="1"/>
  <c r="R9" i="2"/>
  <c r="N21" i="2" s="1"/>
  <c r="Q21" i="2" s="1"/>
  <c r="I23" i="2"/>
  <c r="M8" i="11" l="1"/>
</calcChain>
</file>

<file path=xl/comments1.xml><?xml version="1.0" encoding="utf-8"?>
<comments xmlns="http://schemas.openxmlformats.org/spreadsheetml/2006/main">
  <authors>
    <author>Ballasina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 xml:space="preserve">VELOCITA' DI PROGETTO MASSIMA
(al massimo 10km in più del limite di velocità)
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SPARTITRAFFICO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BANCHINA SINISTRA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NUMERO CORSIE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LARGHEZZA CORSIA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RISERVATA BUS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BANCHINA DESTRA
CORSIA DI EMERGENZA
SOSTA PARALLELA
SOSTA 90° + MANOVRA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MARCIAPIEDE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LARGHEZZA PAVIMENTATO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LIVELLO DI SERVIZIO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PORTATA:
veic eq/h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RAGGIO PLAMINETRICO MINIMO
qmax Vmin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RAGGIO PLAMINETRICO MINIMO
qmax Vmax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RAGGIO PLAMINETRICO MINIMO
qmin Vmax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RAGGIO SAGOMA IN CONTROPENDENZA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PENDENZA TRASVERSALE MASSIMA %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PENDENZA LONGITUDINALE MASSIMA %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LARGHEZZA STRISCIA DI MARGINE cm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LARGHEZZA STRISCIA CENTRALE cm</t>
        </r>
      </text>
    </comment>
    <comment ref="G19" authorId="0" shapeId="0">
      <text>
        <r>
          <rPr>
            <b/>
            <sz val="8"/>
            <color indexed="81"/>
            <rFont val="Tahoma"/>
            <family val="2"/>
          </rPr>
          <t>SECONDO ME E' 60</t>
        </r>
      </text>
    </comment>
  </commentList>
</comments>
</file>

<file path=xl/comments2.xml><?xml version="1.0" encoding="utf-8"?>
<comments xmlns="http://schemas.openxmlformats.org/spreadsheetml/2006/main">
  <authors>
    <author>Ballasina</author>
  </authors>
  <commentList>
    <comment ref="L19" authorId="0" shapeId="0">
      <text>
        <r>
          <rPr>
            <b/>
            <sz val="8"/>
            <color indexed="81"/>
            <rFont val="Tahoma"/>
            <family val="2"/>
          </rPr>
          <t>Misurata come sviluppo dell'arco in asse corsia</t>
        </r>
      </text>
    </comment>
    <comment ref="K21" authorId="0" shapeId="0">
      <text>
        <r>
          <rPr>
            <b/>
            <sz val="8"/>
            <color indexed="81"/>
            <rFont val="Tahoma"/>
            <family val="2"/>
          </rPr>
          <t xml:space="preserve">RAGGIO MINIMO PER NON AVERE ALLARGAMENTO PER LA DISTANZA DI ARRESTO
BISOGNA CALCOLARE IL RAGGIO IN FUNZIONE DI CORDA E ARCO
FORMULA APPROSSIMATA SVILUPPANDO IL COSENO CON SERIE DI TAYLOR:
</t>
        </r>
        <r>
          <rPr>
            <sz val="8"/>
            <color indexed="81"/>
            <rFont val="Tahoma"/>
            <family val="2"/>
          </rPr>
          <t>cos x = 1-x^2/2....+x^4/24</t>
        </r>
        <r>
          <rPr>
            <b/>
            <sz val="8"/>
            <color indexed="81"/>
            <rFont val="Tahoma"/>
            <family val="2"/>
          </rPr>
          <t xml:space="preserve">
D=SVILUPPO ARCO (DISTANZA ARRESTO)
S=SAETTA (DISTANZA ASSE CORSIA - GUARD RAIL)
S=R(1-cos (alpha/2))
alpha/2=(D/2)/R   (radianti)
cos alpha/2 = 1-1/2*((D/2)/R)^2
=&gt; R=(D/2)^2/(2S)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" authorId="0" shapeId="0">
      <text>
        <r>
          <rPr>
            <b/>
            <sz val="8"/>
            <color indexed="81"/>
            <rFont val="Tahoma"/>
            <family val="2"/>
          </rPr>
          <t xml:space="preserve">ARRETREMENTO DELL'OSTACOLO PER AVERE DA
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 xml:space="preserve">FORMULA APPROSSIMATA
VALORI DEI COEFFICIENTI DELLA FUNZIONE DI 4 GRADO
TROVATI CON MATRICI.XLSX
VELOCITA' CALCOLATA CON PENDENZA -5,-3,0,3,5%
I VALORI SONO ATTENDIBILI SOLO NEL RANGE 80-250 m DI VISIBILITA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RAGGI VISUALI, CORDA DELL'ARCO</t>
        </r>
      </text>
    </comment>
    <comment ref="K26" authorId="0" shapeId="0">
      <text>
        <r>
          <rPr>
            <b/>
            <sz val="8"/>
            <color indexed="81"/>
            <rFont val="Tahoma"/>
            <family val="2"/>
          </rPr>
          <t>DISTANZA VISUALE PER L'ARRESTO
misurata l'ungo l'arco e non sulla corda</t>
        </r>
      </text>
    </comment>
    <comment ref="K27" authorId="0" shapeId="0">
      <text>
        <r>
          <rPr>
            <b/>
            <sz val="8"/>
            <color indexed="81"/>
            <rFont val="Tahoma"/>
            <family val="2"/>
          </rPr>
          <t>RAGGIO ASSE CORSIA</t>
        </r>
      </text>
    </comment>
    <comment ref="K28" authorId="0" shapeId="0">
      <text>
        <r>
          <rPr>
            <b/>
            <sz val="8"/>
            <color indexed="81"/>
            <rFont val="Tahoma"/>
            <family val="2"/>
          </rPr>
          <t xml:space="preserve">RAGGIO AL BORDO DELLA CORSIA OPPOSTA (PER CAMBIO DI CORSIA)
</t>
        </r>
      </text>
    </comment>
    <comment ref="K29" authorId="0" shapeId="0">
      <text>
        <r>
          <rPr>
            <b/>
            <sz val="8"/>
            <color indexed="81"/>
            <rFont val="Tahoma"/>
            <family val="2"/>
          </rPr>
          <t>RAGGIO TANGENTE ALL'OSTACOLO</t>
        </r>
      </text>
    </comment>
    <comment ref="L35" authorId="0" shapeId="0">
      <text>
        <r>
          <rPr>
            <b/>
            <sz val="8"/>
            <color indexed="81"/>
            <rFont val="Tahoma"/>
            <family val="2"/>
          </rPr>
          <t>Misurata come sviluppo dell'arco in asse corsia</t>
        </r>
      </text>
    </comment>
    <comment ref="K39" authorId="0" shapeId="0">
      <text>
        <r>
          <rPr>
            <b/>
            <sz val="8"/>
            <color indexed="81"/>
            <rFont val="Tahoma"/>
            <family val="2"/>
          </rPr>
          <t xml:space="preserve">VELOCITA' CALCOLATA CON PENDENZA
-5,-3,0,3,5%
I VALORI SONO ATTENDIBILI SOLO NEL RANGE 80-250 m DI VISIBILITA
</t>
        </r>
      </text>
    </comment>
  </commentList>
</comments>
</file>

<file path=xl/comments3.xml><?xml version="1.0" encoding="utf-8"?>
<comments xmlns="http://schemas.openxmlformats.org/spreadsheetml/2006/main">
  <authors>
    <author>Ballasina</author>
  </authors>
  <commentList>
    <comment ref="L51" authorId="0" shapeId="0">
      <text>
        <r>
          <rPr>
            <b/>
            <sz val="8"/>
            <color indexed="81"/>
            <rFont val="Tahoma"/>
            <family val="2"/>
          </rPr>
          <t>R2,5/R*=5
R2,5/R*=2,95
R2,5/R*=1,685950413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b/>
            <sz val="8"/>
            <color indexed="81"/>
            <rFont val="Tahoma"/>
            <family val="2"/>
          </rPr>
          <t>VELOCITA' DI PROGETTO MASSIMA
IL LIMITE DI VELOCITA' E' 10 KM/H MENO</t>
        </r>
      </text>
    </comment>
    <comment ref="F60" authorId="0" shapeId="0">
      <text>
        <r>
          <rPr>
            <b/>
            <sz val="8"/>
            <color indexed="81"/>
            <rFont val="Tahoma"/>
            <family val="2"/>
          </rPr>
          <t>LARGHEZZA CORSIA</t>
        </r>
      </text>
    </comment>
    <comment ref="G60" authorId="0" shapeId="0">
      <text>
        <r>
          <rPr>
            <b/>
            <sz val="8"/>
            <color indexed="81"/>
            <rFont val="Tahoma"/>
            <family val="2"/>
          </rPr>
          <t>BANCHINA DESTRA
CORSIA DI EMERGENZA
SOSTA PARALLELA
SOSTA 90° + MANOVRA</t>
        </r>
      </text>
    </comment>
    <comment ref="H60" authorId="0" shapeId="0">
      <text>
        <r>
          <rPr>
            <b/>
            <sz val="8"/>
            <color indexed="81"/>
            <rFont val="Tahoma"/>
            <family val="2"/>
          </rPr>
          <t>LARGHEZZA PAVIMENTATO</t>
        </r>
      </text>
    </comment>
    <comment ref="I60" authorId="0" shapeId="0">
      <text>
        <r>
          <rPr>
            <b/>
            <sz val="8"/>
            <color indexed="81"/>
            <rFont val="Tahoma"/>
            <family val="2"/>
          </rPr>
          <t>RAGGIO PLAMINETRICO MINIMO
qmax Vmin</t>
        </r>
      </text>
    </comment>
    <comment ref="J60" authorId="0" shapeId="0">
      <text>
        <r>
          <rPr>
            <b/>
            <sz val="8"/>
            <color indexed="81"/>
            <rFont val="Tahoma"/>
            <family val="2"/>
          </rPr>
          <t>RAGGIO PLAMINETRICO MINIMO
qmax Vmax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60" authorId="0" shapeId="0">
      <text>
        <r>
          <rPr>
            <b/>
            <sz val="8"/>
            <color indexed="81"/>
            <rFont val="Tahoma"/>
            <family val="2"/>
          </rPr>
          <t>RAGGIO PLAMINETRICO MINIMO
qmin Vmax</t>
        </r>
      </text>
    </comment>
    <comment ref="L60" authorId="0" shapeId="0">
      <text>
        <r>
          <rPr>
            <b/>
            <sz val="8"/>
            <color indexed="81"/>
            <rFont val="Tahoma"/>
            <family val="2"/>
          </rPr>
          <t>RAGGIO SAGOMA IN CONTROPENDENZA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60" authorId="0" shapeId="0">
      <text>
        <r>
          <rPr>
            <b/>
            <sz val="8"/>
            <color indexed="81"/>
            <rFont val="Tahoma"/>
            <family val="2"/>
          </rPr>
          <t>PENDENZA TRASVERSALE MASSIMA
MAX 6% SE FREQUENTE INNEVAMENTO</t>
        </r>
      </text>
    </comment>
    <comment ref="N60" authorId="0" shapeId="0">
      <text>
        <r>
          <rPr>
            <b/>
            <sz val="8"/>
            <color indexed="81"/>
            <rFont val="Tahoma"/>
            <family val="2"/>
          </rPr>
          <t>PENDENZA LONGITUDINALE MASSIMA %</t>
        </r>
      </text>
    </comment>
    <comment ref="C104" authorId="0" shapeId="0">
      <text>
        <r>
          <rPr>
            <b/>
            <sz val="8"/>
            <color indexed="81"/>
            <rFont val="Tahoma"/>
            <family val="2"/>
          </rPr>
          <t>PENDENZA TRASVERSALE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5" authorId="0" shapeId="0">
      <text>
        <r>
          <rPr>
            <b/>
            <sz val="8"/>
            <color indexed="81"/>
            <rFont val="Tahoma"/>
            <family val="2"/>
          </rPr>
          <t xml:space="preserve">PENDENZA LONGITUDINALE
</t>
        </r>
      </text>
    </comment>
    <comment ref="C106" authorId="0" shapeId="0">
      <text>
        <r>
          <rPr>
            <b/>
            <sz val="8"/>
            <color indexed="81"/>
            <rFont val="Tahoma"/>
            <family val="2"/>
          </rPr>
          <t>J&lt;10% PER STRADE A B
J&lt;12% ALTRE STRADE
J&lt;8% FREQUENTE INNEVAMENTO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0" authorId="0" shapeId="0">
      <text>
        <r>
          <rPr>
            <b/>
            <sz val="8"/>
            <color indexed="81"/>
            <rFont val="Tahoma"/>
            <family val="2"/>
          </rPr>
          <t>R=raggio
L=sviluppo curva
A=parametro di scala
n=parametro di forma</t>
        </r>
      </text>
    </comment>
    <comment ref="C117" authorId="0" shapeId="0">
      <text>
        <r>
          <rPr>
            <b/>
            <sz val="8"/>
            <color indexed="81"/>
            <rFont val="Tahoma"/>
            <family val="2"/>
          </rPr>
          <t>VELOCITA' PROGETTO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7" authorId="0" shapeId="0">
      <text>
        <r>
          <rPr>
            <b/>
            <sz val="8"/>
            <color indexed="81"/>
            <rFont val="Tahoma"/>
            <family val="2"/>
          </rPr>
          <t>A&gt;0,021 x V^2</t>
        </r>
      </text>
    </comment>
    <comment ref="C118" authorId="0" shapeId="0">
      <text>
        <r>
          <rPr>
            <b/>
            <sz val="8"/>
            <color indexed="81"/>
            <rFont val="Tahoma"/>
            <family val="2"/>
          </rPr>
          <t>RAGGIO INIZIALE
SE CONTINUITA'</t>
        </r>
      </text>
    </comment>
    <comment ref="C119" authorId="0" shapeId="0">
      <text>
        <r>
          <rPr>
            <b/>
            <sz val="8"/>
            <color indexed="81"/>
            <rFont val="Tahoma"/>
            <family val="2"/>
          </rPr>
          <t>RAGGIO FINALE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0" authorId="0" shapeId="0">
      <text>
        <r>
          <rPr>
            <b/>
            <sz val="8"/>
            <color indexed="81"/>
            <rFont val="Tahoma"/>
            <family val="2"/>
          </rPr>
          <t>PENDENZA TRASVERSALE INIZIALE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0" authorId="0" shapeId="0">
      <text>
        <r>
          <rPr>
            <b/>
            <sz val="8"/>
            <color indexed="81"/>
            <rFont val="Tahoma"/>
            <family val="2"/>
          </rPr>
          <t xml:space="preserve">A &gt; R/3
</t>
        </r>
      </text>
    </comment>
    <comment ref="C121" authorId="0" shapeId="0">
      <text>
        <r>
          <rPr>
            <b/>
            <sz val="8"/>
            <color indexed="81"/>
            <rFont val="Tahoma"/>
            <family val="2"/>
          </rPr>
          <t>PENDENZA TRASVERSALE FINALE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2" authorId="0" shapeId="0">
      <text>
        <r>
          <rPr>
            <b/>
            <sz val="8"/>
            <color indexed="81"/>
            <rFont val="Tahoma"/>
            <family val="2"/>
          </rPr>
          <t>SEMICARREGGIATA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3" authorId="0" shapeId="0">
      <text>
        <r>
          <rPr>
            <b/>
            <sz val="8"/>
            <color indexed="81"/>
            <rFont val="Tahoma"/>
            <family val="2"/>
          </rPr>
          <t>SOVRAPENDENZA CIGLIO MASSIMA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3" authorId="0" shapeId="0">
      <text>
        <r>
          <rPr>
            <b/>
            <sz val="8"/>
            <color indexed="81"/>
            <rFont val="Tahoma"/>
            <family val="2"/>
          </rPr>
          <t>Angolo al centro della curva comprese le clotoidi per avere sviluppo minimo 2,5 secondi</t>
        </r>
      </text>
    </comment>
    <comment ref="C124" authorId="0" shapeId="0">
      <text>
        <r>
          <rPr>
            <b/>
            <sz val="8"/>
            <color indexed="81"/>
            <rFont val="Tahoma"/>
            <family val="2"/>
          </rPr>
          <t>SOVRAPENDENZA CIGLIO MINIMA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5" authorId="0" shapeId="0">
      <text>
        <r>
          <rPr>
            <b/>
            <sz val="8"/>
            <color indexed="81"/>
            <rFont val="Tahoma"/>
            <family val="2"/>
          </rPr>
          <t>DELTA SCOSTAMENTO VERTICALE CIGLIO CARREGGIATA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6" authorId="0" shapeId="0">
      <text>
        <r>
          <rPr>
            <b/>
            <sz val="8"/>
            <color indexed="81"/>
            <rFont val="Tahoma"/>
            <family val="2"/>
          </rPr>
          <t>LUNGHEZZA MINIMA TRATTO DI VARIAZIONE PENDENZA TRASVERSALE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6" authorId="0" shapeId="0">
      <text>
        <r>
          <rPr>
            <b/>
            <sz val="8"/>
            <color indexed="81"/>
            <rFont val="Tahoma"/>
            <family val="2"/>
          </rPr>
          <t>Ballasina: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27" authorId="0" shapeId="0">
      <text>
        <r>
          <rPr>
            <b/>
            <sz val="8"/>
            <color indexed="81"/>
            <rFont val="Tahoma"/>
            <family val="2"/>
          </rPr>
          <t>LUNGHEZZA MASSIMA TRATTO DI VARIAZIONE PENDENZA TRASVERSALE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7" authorId="0" shapeId="0">
      <text>
        <r>
          <rPr>
            <b/>
            <sz val="8"/>
            <color indexed="81"/>
            <rFont val="Tahoma"/>
            <family val="2"/>
          </rPr>
          <t>A^2/R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Ballasina</author>
    <author>Ballasina Emanuele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0,10 = ARRESTO
1,10 = SORPASSO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 shapeId="0">
      <text>
        <r>
          <rPr>
            <b/>
            <sz val="8"/>
            <color indexed="81"/>
            <rFont val="Tahoma"/>
            <family val="2"/>
          </rPr>
          <t>0,10 = ARRESTO
1,10 = SORPASSO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&lt;0,6m/s^2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2" authorId="0" shapeId="0">
      <text>
        <r>
          <rPr>
            <b/>
            <sz val="8"/>
            <color indexed="81"/>
            <rFont val="Tahoma"/>
            <family val="2"/>
          </rPr>
          <t>&lt;0,6m/s^2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</rPr>
          <t>posiviva se parallela a p</t>
        </r>
      </text>
    </comment>
    <comment ref="D23" authorId="0" shapeId="0">
      <text>
        <r>
          <rPr>
            <b/>
            <sz val="8"/>
            <color indexed="81"/>
            <rFont val="Tahoma"/>
            <family val="2"/>
          </rPr>
          <t>positiva se parallela a p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positiva se parallela a p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posiviva se parallela a p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positiva se parallela a p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positiva se parallela a p</t>
        </r>
      </text>
    </comment>
    <comment ref="F32" authorId="1" shapeId="0">
      <text>
        <r>
          <rPr>
            <b/>
            <sz val="8"/>
            <color indexed="81"/>
            <rFont val="Tahoma"/>
            <family val="2"/>
          </rPr>
          <t xml:space="preserve">positiva se in salita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2" authorId="1" shapeId="0">
      <text>
        <r>
          <rPr>
            <b/>
            <sz val="8"/>
            <color indexed="81"/>
            <rFont val="Tahoma"/>
            <family val="2"/>
          </rPr>
          <t>positiva se verso l'alto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</rPr>
          <t xml:space="preserve">Inclinazione dei fari verso l'alto
</t>
        </r>
      </text>
    </comment>
    <comment ref="F38" authorId="0" shapeId="0">
      <text>
        <r>
          <rPr>
            <b/>
            <sz val="8"/>
            <color indexed="81"/>
            <rFont val="Tahoma"/>
            <family val="2"/>
          </rPr>
          <t>0,10 = ARRESTO
1,10 = SORPASSO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8"/>
            <color indexed="81"/>
            <rFont val="Tahoma"/>
            <family val="2"/>
          </rPr>
          <t>Formula da normativa per Dv&lt;Sviluppo arco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b/>
            <sz val="8"/>
            <color indexed="81"/>
            <rFont val="Tahoma"/>
            <family val="2"/>
          </rPr>
          <t xml:space="preserve">Formula ballasina:
intersezione tra cerchio y=R-radq(R^2-x^2)
 e retta y=0,5+(tg1°)x
</t>
        </r>
      </text>
    </comment>
  </commentList>
</comments>
</file>

<file path=xl/comments5.xml><?xml version="1.0" encoding="utf-8"?>
<comments xmlns="http://schemas.openxmlformats.org/spreadsheetml/2006/main">
  <authors>
    <author>Ballasina</author>
  </authors>
  <commentList>
    <comment ref="F10" authorId="0" shapeId="0">
      <text>
        <r>
          <rPr>
            <b/>
            <sz val="8"/>
            <color indexed="81"/>
            <rFont val="Tahoma"/>
            <family val="2"/>
          </rPr>
          <t>1
1,5 se intersezione</t>
        </r>
      </text>
    </comment>
  </commentList>
</comments>
</file>

<file path=xl/comments6.xml><?xml version="1.0" encoding="utf-8"?>
<comments xmlns="http://schemas.openxmlformats.org/spreadsheetml/2006/main">
  <authors>
    <author>Ballasina</author>
    <author>Amministratore</author>
    <author>ballasina</author>
    <author xml:space="preserve"> </author>
  </authors>
  <commentList>
    <comment ref="P4" authorId="0" shapeId="0">
      <text>
        <r>
          <rPr>
            <b/>
            <sz val="8"/>
            <color indexed="81"/>
            <rFont val="Tahoma"/>
            <family val="2"/>
          </rPr>
          <t>PENDENZA LONGITUDINALE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0" shapeId="0">
      <text>
        <r>
          <rPr>
            <b/>
            <sz val="8"/>
            <color indexed="81"/>
            <rFont val="Tahoma"/>
            <family val="2"/>
          </rPr>
          <t>ACCELERAZIONE m/s^2:
1    DA NORMATIVA
1.7 PROPOSTA CR-MN</t>
        </r>
      </text>
    </comment>
    <comment ref="K5" authorId="0" shapeId="0">
      <text>
        <r>
          <rPr>
            <b/>
            <sz val="8"/>
            <color indexed="81"/>
            <rFont val="Tahoma"/>
            <family val="2"/>
          </rPr>
          <t>CORSIA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>
      <text>
        <r>
          <rPr>
            <b/>
            <sz val="8"/>
            <color indexed="81"/>
            <rFont val="Tahoma"/>
            <family val="2"/>
          </rPr>
          <t>il tratto di immissione comprende anche il tratto di raccordo (ago)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>AGO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0" shapeId="0">
      <text>
        <r>
          <rPr>
            <b/>
            <sz val="8"/>
            <color indexed="81"/>
            <rFont val="Tahoma"/>
            <family val="2"/>
          </rPr>
          <t>DECELERAZIONE m/s^2:
2.5 DA NORMA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5" authorId="0" shapeId="0">
      <text>
        <r>
          <rPr>
            <b/>
            <sz val="8"/>
            <color indexed="81"/>
            <rFont val="Tahoma"/>
            <family val="2"/>
          </rPr>
          <t>% RIDUZIONE VELOCITA' ASTA PRINCIPALE
DA NORMA 75%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6" authorId="1" shapeId="0">
      <text>
        <r>
          <rPr>
            <b/>
            <sz val="8"/>
            <color indexed="81"/>
            <rFont val="Tahoma"/>
            <family val="2"/>
          </rPr>
          <t>75%</t>
        </r>
      </text>
    </comment>
    <comment ref="G7" authorId="1" shapeId="0">
      <text>
        <r>
          <rPr>
            <b/>
            <sz val="8"/>
            <color indexed="81"/>
            <rFont val="Tahoma"/>
            <family val="2"/>
          </rPr>
          <t>80%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2" shapeId="0">
      <text>
        <r>
          <rPr>
            <b/>
            <sz val="9"/>
            <color indexed="81"/>
            <rFont val="Tahoma"/>
            <family val="2"/>
          </rPr>
          <t>MANCA TRATTO IMMISSIONE DA CALCOLARE CON METODO FUNZIONALE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1" shapeId="0">
      <text>
        <r>
          <rPr>
            <b/>
            <sz val="8"/>
            <color indexed="81"/>
            <rFont val="Tahoma"/>
            <family val="2"/>
          </rPr>
          <t>75%</t>
        </r>
      </text>
    </comment>
    <comment ref="L8" authorId="2" shapeId="0">
      <text>
        <r>
          <rPr>
            <b/>
            <sz val="9"/>
            <color indexed="81"/>
            <rFont val="Tahoma"/>
            <family val="2"/>
          </rPr>
          <t>L'IMMISSIONE COMPRENDE ANCHE L'AGO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75%</t>
        </r>
      </text>
    </comment>
    <comment ref="H10" authorId="3" shapeId="0">
      <text>
        <r>
          <rPr>
            <b/>
            <sz val="10"/>
            <color indexed="81"/>
            <rFont val="Tahoma"/>
            <family val="2"/>
          </rPr>
          <t>PROPOSTA DI MODIFICA</t>
        </r>
      </text>
    </comment>
    <comment ref="G11" authorId="1" shapeId="0">
      <text>
        <r>
          <rPr>
            <b/>
            <sz val="8"/>
            <color indexed="81"/>
            <rFont val="Tahoma"/>
            <family val="2"/>
          </rPr>
          <t>60%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 shapeId="0">
      <text>
        <r>
          <rPr>
            <b/>
            <sz val="8"/>
            <color indexed="81"/>
            <rFont val="Tahoma"/>
            <family val="2"/>
          </rPr>
          <t>AGO</t>
        </r>
      </text>
    </comment>
    <comment ref="K14" authorId="0" shapeId="0">
      <text>
        <r>
          <rPr>
            <b/>
            <sz val="8"/>
            <color indexed="81"/>
            <rFont val="Tahoma"/>
            <family val="2"/>
          </rPr>
          <t>CORSIA</t>
        </r>
      </text>
    </comment>
    <comment ref="E15" authorId="1" shapeId="0">
      <text>
        <r>
          <rPr>
            <b/>
            <sz val="8"/>
            <color indexed="81"/>
            <rFont val="Tahoma"/>
            <family val="2"/>
          </rPr>
          <t>75%</t>
        </r>
      </text>
    </comment>
    <comment ref="E16" authorId="1" shapeId="0">
      <text>
        <r>
          <rPr>
            <b/>
            <sz val="8"/>
            <color indexed="81"/>
            <rFont val="Tahoma"/>
            <family val="2"/>
          </rPr>
          <t>100%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3" shapeId="0">
      <text>
        <r>
          <rPr>
            <b/>
            <sz val="8"/>
            <color indexed="81"/>
            <rFont val="Tahoma"/>
            <family val="2"/>
          </rPr>
          <t xml:space="preserve"> 3 per autostrade
2 per altre strade
</t>
        </r>
      </text>
    </comment>
    <comment ref="E17" authorId="1" shapeId="0">
      <text>
        <r>
          <rPr>
            <b/>
            <sz val="8"/>
            <color indexed="81"/>
            <rFont val="Tahoma"/>
            <family val="2"/>
          </rPr>
          <t>75%</t>
        </r>
      </text>
    </comment>
    <comment ref="E18" authorId="1" shapeId="0">
      <text>
        <r>
          <rPr>
            <b/>
            <sz val="8"/>
            <color indexed="81"/>
            <rFont val="Tahoma"/>
            <family val="2"/>
          </rPr>
          <t>75%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9" authorId="0" shapeId="0">
      <text>
        <r>
          <rPr>
            <b/>
            <sz val="8"/>
            <color indexed="81"/>
            <rFont val="Tahoma"/>
            <family val="2"/>
          </rPr>
          <t>75% DA NORMA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9" authorId="0" shapeId="0">
      <text>
        <r>
          <rPr>
            <b/>
            <sz val="8"/>
            <color indexed="81"/>
            <rFont val="Tahoma"/>
            <family val="2"/>
          </rPr>
          <t>75% DA NORMA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0" authorId="0" shapeId="0">
      <text>
        <r>
          <rPr>
            <b/>
            <sz val="8"/>
            <color indexed="81"/>
            <rFont val="Tahoma"/>
            <family val="2"/>
          </rPr>
          <t>1 DA NORMA
1,7 PROPOSTA CR-MN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Ballasina</author>
    <author>ballasina</author>
  </authors>
  <commentList>
    <comment ref="C4" authorId="0" shapeId="0">
      <text>
        <r>
          <rPr>
            <b/>
            <sz val="8"/>
            <color indexed="81"/>
            <rFont val="Tahoma"/>
            <family val="2"/>
          </rPr>
          <t>flusso totale nella zona di scambio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auto/km</t>
        </r>
      </text>
    </comment>
    <comment ref="C5" authorId="0" shapeId="0">
      <text>
        <r>
          <rPr>
            <b/>
            <sz val="8"/>
            <color indexed="81"/>
            <rFont val="Tahoma"/>
            <family val="2"/>
          </rPr>
          <t>flusso di scambio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flusso non di scambio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fs/f
flusso di scambio / flusso totale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numero corsie zona scambio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lunghezza zona di scambio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</rPr>
          <t>velocità circolazione libera nel tratto di scambio</t>
        </r>
      </text>
    </comment>
    <comment ref="F11" authorId="0" shapeId="0">
      <text>
        <r>
          <rPr>
            <b/>
            <sz val="8"/>
            <color indexed="81"/>
            <rFont val="Tahoma"/>
            <family val="2"/>
          </rPr>
          <t xml:space="preserve">se la larghezza della carreggiata a disposizione del flusso di scambio è insufficiente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scambio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non di scambio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</rPr>
          <t>scambio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</rPr>
          <t>non di scambio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>fattore di intensità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>velocità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</rPr>
          <t xml:space="preserve">numero corsie di scambio
</t>
        </r>
      </text>
    </comment>
    <comment ref="D19" authorId="1" shapeId="0">
      <text>
        <r>
          <rPr>
            <b/>
            <sz val="8"/>
            <color indexed="81"/>
            <rFont val="Tahoma"/>
            <family val="2"/>
          </rPr>
          <t>se &gt;1,4 procedere con calcolo vincolato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</rPr>
          <t>velocità media nella zona di scambio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</rPr>
          <t>densità veicolare</t>
        </r>
      </text>
    </comment>
  </commentList>
</comments>
</file>

<file path=xl/comments8.xml><?xml version="1.0" encoding="utf-8"?>
<comments xmlns="http://schemas.openxmlformats.org/spreadsheetml/2006/main">
  <authors>
    <author>ballasina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TRAFFICO USCENTE</t>
        </r>
      </text>
    </comment>
    <comment ref="E5" authorId="0" shapeId="0">
      <text>
        <r>
          <rPr>
            <b/>
            <sz val="8"/>
            <color indexed="81"/>
            <rFont val="Tahoma"/>
            <family val="2"/>
          </rPr>
          <t>TRAFFICO USCENTE EQUIVALENTE
Q'u=0 se SEP &gt; 15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TRAFFICO CIRCOLANTE, FLUSSO CHE PERCORRE L'ANELLO IN CORRISPONDENZA DEL RAMO IN OGGETTO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" authorId="0" shapeId="0">
      <text>
        <r>
          <rPr>
            <b/>
            <sz val="8"/>
            <color indexed="81"/>
            <rFont val="Tahoma"/>
            <family val="2"/>
          </rPr>
          <t>TRAFFICO DI DISTURBO</t>
        </r>
      </text>
    </comment>
    <comment ref="C7" authorId="0" shapeId="0">
      <text>
        <r>
          <rPr>
            <b/>
            <sz val="8"/>
            <color indexed="81"/>
            <rFont val="Tahoma"/>
            <family val="2"/>
          </rPr>
          <t>LARGHEZZA ISOLA SPARTITRAFFICO IN CORRISPONDENZA DELL'ANELLO, MISURATA SUGLI SPIGOLI DELLA SEGNALETICA
SE &gt; 15 Q'u=0</t>
        </r>
      </text>
    </comment>
    <comment ref="C8" authorId="0" shapeId="0">
      <text>
        <r>
          <rPr>
            <b/>
            <sz val="8"/>
            <color indexed="81"/>
            <rFont val="Tahoma"/>
            <family val="2"/>
          </rPr>
          <t>LARGHEZZA ANELLO, PAVIMENTATA
&gt;8
&lt;20</t>
        </r>
      </text>
    </comment>
    <comment ref="C9" authorId="0" shapeId="0">
      <text>
        <r>
          <rPr>
            <b/>
            <sz val="8"/>
            <color indexed="81"/>
            <rFont val="Tahoma"/>
            <family val="2"/>
          </rPr>
          <t>LARGHEZZA CORSIA IN ENTRATA, PAVIMENTATA
3,5</t>
        </r>
      </text>
    </comment>
    <comment ref="E9" authorId="0" shapeId="0">
      <text>
        <r>
          <rPr>
            <b/>
            <sz val="8"/>
            <color indexed="81"/>
            <rFont val="Tahoma"/>
            <family val="2"/>
          </rPr>
          <t>CAPACITA' BRACCIO IN INGRESSO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TRAFFICO USCENTE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TRAFFICO CIRCOLANTE, FLUSSO CHE PERCORRE L'ANELLO IN CORRISPONDENZA DEL RAMO IN OGGETTO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RAGGIO ESTERNO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se &gt; 20 a=0,7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TRAFFICO DI DISTURBO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</rPr>
          <t>LARGHEZZA ANELLO
se &lt; 8 a=1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>NUMERO CORSIE IN INGRESSO
se = 1 c=1
se &gt; 1 c=1,5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CAPACITA' BRACCIO IN INGRESSO</t>
        </r>
      </text>
    </comment>
  </commentList>
</comments>
</file>

<file path=xl/comments9.xml><?xml version="1.0" encoding="utf-8"?>
<comments xmlns="http://schemas.openxmlformats.org/spreadsheetml/2006/main">
  <authors>
    <author>Ballasina</author>
    <author>ballasina</author>
  </authors>
  <commentList>
    <comment ref="G7" authorId="0" shapeId="0">
      <text>
        <r>
          <rPr>
            <b/>
            <sz val="8"/>
            <color indexed="81"/>
            <rFont val="Tahoma"/>
            <family val="2"/>
          </rPr>
          <t>RAGGIO ESTERNO DELLA ROTATORIA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CETUR
20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NUMERO CORSIE INGRESSO
CETUR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7" authorId="1" shapeId="0">
      <text>
        <r>
          <rPr>
            <b/>
            <sz val="8"/>
            <color indexed="81"/>
            <rFont val="Tahoma"/>
            <family val="2"/>
          </rPr>
          <t>LARGHEZZA ANELLO, PAVIMENTATA
&gt;8
&lt;20</t>
        </r>
      </text>
    </comment>
    <comment ref="J7" authorId="1" shapeId="0">
      <text>
        <r>
          <rPr>
            <b/>
            <sz val="8"/>
            <color indexed="81"/>
            <rFont val="Tahoma"/>
            <family val="2"/>
          </rPr>
          <t>LARGHEZZA ISOLA SPARTITRAFFICO IN CORRISPONDENZA DELL'ANELLO, MISURATA SUGLI SPIGOLI DELLA SEGNALETICA
SE &gt; 15 Q'u=0</t>
        </r>
      </text>
    </comment>
    <comment ref="K7" authorId="1" shapeId="0">
      <text>
        <r>
          <rPr>
            <b/>
            <sz val="8"/>
            <color indexed="81"/>
            <rFont val="Tahoma"/>
            <family val="2"/>
          </rPr>
          <t>LARGHEZZA CORSIA IN ENTRATA, PAVIMENTATA
3,5</t>
        </r>
      </text>
    </comment>
    <comment ref="R7" authorId="0" shapeId="0">
      <text>
        <r>
          <rPr>
            <b/>
            <sz val="8"/>
            <color indexed="81"/>
            <rFont val="Tahoma"/>
            <family val="2"/>
          </rPr>
          <t>FLUSSO DI TRAFFICO ENTRANTE NEL RAMO i  PREVISTO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7" authorId="0" shapeId="0">
      <text>
        <r>
          <rPr>
            <b/>
            <sz val="8"/>
            <color indexed="81"/>
            <rFont val="Tahoma"/>
            <family val="2"/>
          </rPr>
          <t xml:space="preserve">FLUSSO USCENTE DAL RAMO i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7" authorId="0" shapeId="0">
      <text>
        <r>
          <rPr>
            <b/>
            <sz val="8"/>
            <color indexed="81"/>
            <rFont val="Tahoma"/>
            <family val="2"/>
          </rPr>
          <t>FLUSSO CIRCOLANTE DAVANTI AL RAMO IN INGRESSO 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8" authorId="0" shapeId="0">
      <text>
        <r>
          <rPr>
            <b/>
            <sz val="8"/>
            <color indexed="81"/>
            <rFont val="Tahoma"/>
            <family val="2"/>
          </rPr>
          <t>eph
VEICOLI EQUIVALENTI PER ORA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 shapeId="0">
      <text>
        <r>
          <rPr>
            <b/>
            <sz val="8"/>
            <color indexed="81"/>
            <rFont val="Tahoma"/>
            <family val="2"/>
          </rPr>
          <t>TRAFFICO USCENTE EQUIVALENTE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 shapeId="0">
      <text>
        <r>
          <rPr>
            <b/>
            <sz val="8"/>
            <color indexed="81"/>
            <rFont val="Tahoma"/>
            <family val="2"/>
          </rPr>
          <t xml:space="preserve">TRAFFICO DI DISTURBO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 shapeId="0">
      <text>
        <r>
          <rPr>
            <b/>
            <sz val="8"/>
            <color indexed="81"/>
            <rFont val="Tahoma"/>
            <family val="2"/>
          </rPr>
          <t>CAPACITA' DI BRACCIO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 xml:space="preserve">FLUSSO ENTRANTE EQUIVALENTE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0" shapeId="0">
      <text>
        <r>
          <rPr>
            <b/>
            <sz val="8"/>
            <color indexed="81"/>
            <rFont val="Tahoma"/>
            <family val="2"/>
          </rPr>
          <t>FATTORE MOLTIPLICATIVO PER RAGGIUNGERE LA CAPACITA'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 shapeId="0">
      <text>
        <r>
          <rPr>
            <b/>
            <sz val="8"/>
            <color indexed="81"/>
            <rFont val="Tahoma"/>
            <family val="2"/>
          </rPr>
          <t>CAPACITA' SEMPLICE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5" authorId="0" shapeId="0">
      <text>
        <r>
          <rPr>
            <b/>
            <sz val="8"/>
            <color indexed="81"/>
            <rFont val="Tahoma"/>
            <family val="2"/>
          </rPr>
          <t>RISERVA DI CAPACITA'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5" authorId="0" shapeId="0">
      <text>
        <r>
          <rPr>
            <b/>
            <sz val="8"/>
            <color indexed="81"/>
            <rFont val="Tahoma"/>
            <family val="2"/>
          </rPr>
          <t>CAPACITA' IN CORRISPONDENZA DEL PRIMO RAMO CHE VA IN SATURAZIONE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8"/>
            <color indexed="81"/>
            <rFont val="Tahoma"/>
            <family val="2"/>
          </rPr>
          <t>CAPACITA' MASSIMA DELLA ROTATORIA QUANDO TUTTI I RAMI SONO SATURATI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5" authorId="0" shapeId="0">
      <text>
        <r>
          <rPr>
            <b/>
            <sz val="8"/>
            <color indexed="81"/>
            <rFont val="Tahoma"/>
            <family val="2"/>
          </rPr>
          <t xml:space="preserve">GRADO DI SATURAZIONE
</t>
        </r>
      </text>
    </comment>
    <comment ref="S15" authorId="0" shapeId="0">
      <text>
        <r>
          <rPr>
            <b/>
            <sz val="8"/>
            <color indexed="81"/>
            <rFont val="Tahoma"/>
            <family val="2"/>
          </rPr>
          <t>!!!FORMULA DA VERIFICARE
TEMPO MEDIO DI ATTESA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5" authorId="0" shapeId="0">
      <text>
        <r>
          <rPr>
            <b/>
            <sz val="8"/>
            <color indexed="81"/>
            <rFont val="Tahoma"/>
            <family val="2"/>
          </rPr>
          <t>LUNGHEZZA MEDIA DELLA CODA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5" authorId="0" shapeId="0">
      <text>
        <r>
          <rPr>
            <b/>
            <sz val="8"/>
            <color indexed="81"/>
            <rFont val="Tahoma"/>
            <family val="2"/>
          </rPr>
          <t>!!! FORMULA DA VERIFICARE
LUNGHEZZA MASSIMA DELLA CODA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5" authorId="0" shapeId="0">
      <text>
        <r>
          <rPr>
            <b/>
            <sz val="8"/>
            <color indexed="81"/>
            <rFont val="Tahoma"/>
            <family val="2"/>
          </rPr>
          <t>LIVELLO DI SERVIZIO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7" authorId="0" shapeId="0">
      <text>
        <r>
          <rPr>
            <b/>
            <sz val="8"/>
            <color indexed="81"/>
            <rFont val="Tahoma"/>
            <family val="2"/>
          </rPr>
          <t xml:space="preserve">CAPACITA' DELLA ROTATORIA QUANDO SI SATURA IL PRIMO RAMO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7" authorId="0" shapeId="0">
      <text>
        <r>
          <rPr>
            <b/>
            <sz val="8"/>
            <color indexed="81"/>
            <rFont val="Tahoma"/>
            <family val="2"/>
          </rPr>
          <t>CAPACITA' MASSIMA DELLA ROTATORIA QUANDO TUTTI RAMI SONO SATURATI</t>
        </r>
      </text>
    </comment>
    <comment ref="S23" authorId="0" shapeId="0">
      <text>
        <r>
          <rPr>
            <b/>
            <sz val="8"/>
            <color indexed="81"/>
            <rFont val="Tahoma"/>
            <family val="2"/>
          </rPr>
          <t xml:space="preserve">FORMULA DA VERIFICARE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23" authorId="0" shapeId="0">
      <text>
        <r>
          <rPr>
            <b/>
            <sz val="8"/>
            <color indexed="81"/>
            <rFont val="Tahoma"/>
            <family val="2"/>
          </rPr>
          <t>LUNGHEZZA MEDIA DELLA CODA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23" authorId="0" shapeId="0">
      <text>
        <r>
          <rPr>
            <b/>
            <sz val="8"/>
            <color indexed="81"/>
            <rFont val="Tahoma"/>
            <family val="2"/>
          </rPr>
          <t>!!! FORMULA DA VERIFICARE
LUNGHEZZA MASSIMA DELLA CODA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5" authorId="0" shapeId="0">
      <text>
        <r>
          <rPr>
            <b/>
            <sz val="8"/>
            <color indexed="81"/>
            <rFont val="Tahoma"/>
            <family val="2"/>
          </rPr>
          <t xml:space="preserve">CAPACITA' DELLA ROTATORIA QUANDO SI SATURA IL PRIMO RAMO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5" authorId="0" shapeId="0">
      <text>
        <r>
          <rPr>
            <b/>
            <sz val="8"/>
            <color indexed="81"/>
            <rFont val="Tahoma"/>
            <family val="2"/>
          </rPr>
          <t>CAPACITA' MASSIMA DELLA ROTATORIA QUANDO TUTTI RAMI SONO SATURATI</t>
        </r>
      </text>
    </comment>
  </commentList>
</comments>
</file>

<file path=xl/comments10.xml><?xml version="1.0" encoding="utf-8"?>
<comments xmlns="http://schemas.openxmlformats.org/spreadsheetml/2006/main">
  <authors>
    <author>Luigi Priori</author>
    <author>Ballasina</author>
  </authors>
  <commentList>
    <comment ref="C54" authorId="0" shapeId="0">
      <text>
        <r>
          <rPr>
            <b/>
            <sz val="8"/>
            <color indexed="81"/>
            <rFont val="Tahoma"/>
            <family val="2"/>
          </rPr>
          <t xml:space="preserve">ESEMPIO:
</t>
        </r>
        <r>
          <rPr>
            <sz val="8"/>
            <color indexed="81"/>
            <rFont val="Tahoma"/>
            <family val="2"/>
          </rPr>
          <t>svolta da destra a destra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5" authorId="0" shapeId="0">
      <text>
        <r>
          <rPr>
            <b/>
            <sz val="8"/>
            <color indexed="81"/>
            <rFont val="Tahoma"/>
            <family val="2"/>
          </rPr>
          <t xml:space="preserve">ESEMPIO:
</t>
        </r>
        <r>
          <rPr>
            <sz val="8"/>
            <color indexed="81"/>
            <rFont val="Tahoma"/>
            <family val="2"/>
          </rPr>
          <t>svolta da destra a sinistra in un salto di montone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56" authorId="0" shapeId="0">
      <text>
        <r>
          <rPr>
            <b/>
            <sz val="8"/>
            <color indexed="81"/>
            <rFont val="Tahoma"/>
            <family val="2"/>
          </rPr>
          <t xml:space="preserve">ESEMPIO:
</t>
        </r>
        <r>
          <rPr>
            <sz val="8"/>
            <color indexed="81"/>
            <rFont val="Tahoma"/>
            <family val="2"/>
          </rPr>
          <t>loop della trombetta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74" authorId="1" shapeId="0">
      <text>
        <r>
          <rPr>
            <b/>
            <sz val="8"/>
            <color indexed="81"/>
            <rFont val="Tahoma"/>
            <family val="2"/>
          </rPr>
          <t>pendenza longitudinale -5%</t>
        </r>
      </text>
    </comment>
    <comment ref="V74" authorId="1" shapeId="0">
      <text>
        <r>
          <rPr>
            <b/>
            <sz val="8"/>
            <color indexed="81"/>
            <rFont val="Tahoma"/>
            <family val="2"/>
          </rPr>
          <t>pendenza trasversale 5%</t>
        </r>
      </text>
    </comment>
  </commentList>
</comments>
</file>

<file path=xl/comments11.xml><?xml version="1.0" encoding="utf-8"?>
<comments xmlns="http://schemas.openxmlformats.org/spreadsheetml/2006/main">
  <authors>
    <author>Ballasina Emanuele</author>
  </authors>
  <commentList>
    <comment ref="B6" authorId="0" shapeId="0">
      <text>
        <r>
          <rPr>
            <b/>
            <sz val="8"/>
            <color indexed="81"/>
            <rFont val="Tahoma"/>
            <family val="2"/>
          </rPr>
          <t>componente orizzontale pendenza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" authorId="0" shapeId="0">
      <text>
        <r>
          <rPr>
            <b/>
            <sz val="8"/>
            <color indexed="81"/>
            <rFont val="Tahoma"/>
            <family val="2"/>
          </rPr>
          <t>componente verticale pendenza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Ballasina</author>
    <author>Amministratore</author>
  </authors>
  <commentList>
    <comment ref="B7" authorId="0" shapeId="0">
      <text>
        <r>
          <rPr>
            <b/>
            <sz val="8"/>
            <color indexed="81"/>
            <rFont val="Tahoma"/>
            <family val="2"/>
          </rPr>
          <t>Sviluppo del tracciato</t>
        </r>
      </text>
    </comment>
    <comment ref="K7" authorId="1" shapeId="0">
      <text>
        <r>
          <rPr>
            <b/>
            <sz val="8"/>
            <color indexed="81"/>
            <rFont val="Tahoma"/>
            <family val="2"/>
          </rPr>
          <t>Raggio osculatore della sinusoide</t>
        </r>
      </text>
    </comment>
    <comment ref="M8" authorId="0" shapeId="0">
      <text>
        <r>
          <rPr>
            <b/>
            <sz val="8"/>
            <color indexed="81"/>
            <rFont val="Tahoma"/>
            <family val="2"/>
          </rPr>
          <t>EQUAZIONE CARTESIANA DEL PROFILO DELLA ROTATORIA</t>
        </r>
      </text>
    </comment>
    <comment ref="N9" authorId="0" shapeId="0">
      <text>
        <r>
          <rPr>
            <b/>
            <sz val="8"/>
            <color indexed="81"/>
            <rFont val="Tahoma"/>
            <family val="2"/>
          </rPr>
          <t>EQUAZIONE IN FORMATO LISP PER "XY"!
SOSTITUIRE "," CON "."</t>
        </r>
      </text>
    </comment>
  </commentList>
</comments>
</file>

<file path=xl/comments13.xml><?xml version="1.0" encoding="utf-8"?>
<comments xmlns="http://schemas.openxmlformats.org/spreadsheetml/2006/main">
  <authors>
    <author>Ballasina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 xml:space="preserve">Raggio dei rami
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 xml:space="preserve">Sviluppo dei singoli rami
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 xml:space="preserve">Velocità di percorrenza dei singoli rami
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 xml:space="preserve">Tempo di percorrenza dei singoli rami
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Velocità media pesata sulle lunghezze dei rami</t>
        </r>
      </text>
    </comment>
  </commentList>
</comments>
</file>

<file path=xl/comments14.xml><?xml version="1.0" encoding="utf-8"?>
<comments xmlns="http://schemas.openxmlformats.org/spreadsheetml/2006/main">
  <authors>
    <author>Ballasina</author>
  </authors>
  <commentList>
    <comment ref="C29" authorId="0" shapeId="0">
      <text>
        <r>
          <rPr>
            <b/>
            <sz val="8"/>
            <color indexed="81"/>
            <rFont val="Tahoma"/>
            <family val="2"/>
          </rPr>
          <t>semiperimetro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>Area del triangolo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</rPr>
          <t>raggio cerchio inscritto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</rPr>
          <t xml:space="preserve">Raggio
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</rPr>
          <t>Angolo al centro
cerchio = 2 pi greco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</rPr>
          <t xml:space="preserve">Area
</t>
        </r>
      </text>
    </comment>
    <comment ref="C43" authorId="0" shapeId="0">
      <text>
        <r>
          <rPr>
            <b/>
            <sz val="8"/>
            <color indexed="81"/>
            <rFont val="Tahoma"/>
            <family val="2"/>
          </rPr>
          <t>Lunghezza arco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4" authorId="0" shapeId="0">
      <text>
        <r>
          <rPr>
            <b/>
            <sz val="8"/>
            <color indexed="81"/>
            <rFont val="Tahoma"/>
            <family val="2"/>
          </rPr>
          <t xml:space="preserve">Corda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5" authorId="0" shapeId="0">
      <text>
        <r>
          <rPr>
            <b/>
            <sz val="8"/>
            <color indexed="81"/>
            <rFont val="Tahoma"/>
            <family val="2"/>
          </rPr>
          <t>Saetta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7" authorId="0" shapeId="0">
      <text>
        <r>
          <rPr>
            <b/>
            <sz val="8"/>
            <color indexed="81"/>
            <rFont val="Tahoma"/>
            <family val="2"/>
          </rPr>
          <t xml:space="preserve">METODO SEZIONI RAGGUAGLIATE
</t>
        </r>
      </text>
    </comment>
    <comment ref="F67" authorId="0" shapeId="0">
      <text>
        <r>
          <rPr>
            <b/>
            <sz val="8"/>
            <color indexed="81"/>
            <rFont val="Tahoma"/>
            <family val="2"/>
          </rPr>
          <t>MOTODO PRISMOIDALE</t>
        </r>
      </text>
    </comment>
    <comment ref="C68" authorId="0" shapeId="0">
      <text>
        <r>
          <rPr>
            <b/>
            <sz val="8"/>
            <color indexed="81"/>
            <rFont val="Tahoma"/>
            <family val="2"/>
          </rPr>
          <t>AREA SEZIONE 1</t>
        </r>
      </text>
    </comment>
    <comment ref="D68" authorId="0" shapeId="0">
      <text>
        <r>
          <rPr>
            <b/>
            <sz val="8"/>
            <color indexed="81"/>
            <rFont val="Tahoma"/>
            <family val="2"/>
          </rPr>
          <t>AREA SEZIONE 2</t>
        </r>
      </text>
    </comment>
    <comment ref="E68" authorId="0" shapeId="0">
      <text>
        <r>
          <rPr>
            <b/>
            <sz val="8"/>
            <color indexed="81"/>
            <rFont val="Tahoma"/>
            <family val="2"/>
          </rPr>
          <t>DISTANZA TRA LE SEZIONI</t>
        </r>
      </text>
    </comment>
    <comment ref="F68" authorId="0" shapeId="0">
      <text>
        <r>
          <rPr>
            <b/>
            <sz val="8"/>
            <color indexed="81"/>
            <rFont val="Tahoma"/>
            <family val="2"/>
          </rPr>
          <t>VOLUME
METODO DELLE SEZIONI RAGGUAGLIATE
è una approssimazione del metodo di Torricelli
V=D/6(A1+4Am+A2)</t>
        </r>
      </text>
    </comment>
    <comment ref="G68" authorId="0" shapeId="0">
      <text>
        <r>
          <rPr>
            <b/>
            <sz val="8"/>
            <color indexed="81"/>
            <rFont val="Tahoma"/>
            <family val="2"/>
          </rPr>
          <t xml:space="preserve">VOLUME
METODO PRISMOIDALE
</t>
        </r>
      </text>
    </comment>
    <comment ref="C72" authorId="0" shapeId="0">
      <text>
        <r>
          <rPr>
            <b/>
            <sz val="8"/>
            <color indexed="81"/>
            <rFont val="Tahoma"/>
            <family val="2"/>
          </rPr>
          <t xml:space="preserve">LUNGHEZZA
</t>
        </r>
      </text>
    </comment>
    <comment ref="D72" authorId="0" shapeId="0">
      <text>
        <r>
          <rPr>
            <b/>
            <sz val="8"/>
            <color indexed="81"/>
            <rFont val="Tahoma"/>
            <family val="2"/>
          </rPr>
          <t>ALTEZZA</t>
        </r>
      </text>
    </comment>
    <comment ref="E72" authorId="0" shapeId="0">
      <text>
        <r>
          <rPr>
            <b/>
            <sz val="8"/>
            <color indexed="81"/>
            <rFont val="Tahoma"/>
            <family val="2"/>
          </rPr>
          <t>LARGHEZZA</t>
        </r>
      </text>
    </comment>
    <comment ref="F72" authorId="0" shapeId="0">
      <text>
        <r>
          <rPr>
            <b/>
            <sz val="8"/>
            <color indexed="81"/>
            <rFont val="Tahoma"/>
            <family val="2"/>
          </rPr>
          <t>PENDENZA SCARPATE
3/2 = 1,5</t>
        </r>
      </text>
    </comment>
    <comment ref="G72" authorId="0" shapeId="0">
      <text>
        <r>
          <rPr>
            <b/>
            <sz val="8"/>
            <color indexed="81"/>
            <rFont val="Tahoma"/>
            <family val="2"/>
          </rPr>
          <t xml:space="preserve">VOLUME
</t>
        </r>
      </text>
    </comment>
  </commentList>
</comments>
</file>

<file path=xl/sharedStrings.xml><?xml version="1.0" encoding="utf-8"?>
<sst xmlns="http://schemas.openxmlformats.org/spreadsheetml/2006/main" count="2006" uniqueCount="1172">
  <si>
    <t>DATI</t>
  </si>
  <si>
    <t>RICHIESTA</t>
  </si>
  <si>
    <t>MASSIMA</t>
  </si>
  <si>
    <t>ATTUALE</t>
  </si>
  <si>
    <t>CONVESSI</t>
  </si>
  <si>
    <t>CONCAVI</t>
  </si>
  <si>
    <t>A</t>
  </si>
  <si>
    <t>Extraurbano</t>
  </si>
  <si>
    <t>B</t>
  </si>
  <si>
    <t>C</t>
  </si>
  <si>
    <t>C1</t>
  </si>
  <si>
    <t>C2</t>
  </si>
  <si>
    <t>D</t>
  </si>
  <si>
    <t>E</t>
  </si>
  <si>
    <t>F</t>
  </si>
  <si>
    <t>F1</t>
  </si>
  <si>
    <t>F2</t>
  </si>
  <si>
    <t>ft</t>
  </si>
  <si>
    <t>V [km/h]</t>
  </si>
  <si>
    <t>R [m]</t>
  </si>
  <si>
    <t>q [%]</t>
  </si>
  <si>
    <t>INPUT</t>
  </si>
  <si>
    <t>OUTPUT</t>
  </si>
  <si>
    <t>FIX</t>
  </si>
  <si>
    <t>TAB</t>
  </si>
  <si>
    <t>MASC</t>
  </si>
  <si>
    <t>DISTANZA PER IL SORPASSO</t>
  </si>
  <si>
    <t>DISTANZA PER CAMBIAMENTO CORSIA</t>
  </si>
  <si>
    <t>RETTIFILI MINIMI</t>
  </si>
  <si>
    <t>PENDENZE TRASVERSALI - RAGGIO - VELOCITA'</t>
  </si>
  <si>
    <t>TIPO STRADA</t>
  </si>
  <si>
    <t>CLOTOIDI</t>
  </si>
  <si>
    <t>qi [%]</t>
  </si>
  <si>
    <t>qf [%]</t>
  </si>
  <si>
    <t>Ri [m]</t>
  </si>
  <si>
    <t>Rf [m]</t>
  </si>
  <si>
    <t>Bi</t>
  </si>
  <si>
    <t>URBANO</t>
  </si>
  <si>
    <t>Raggio             concavo                  [m]</t>
  </si>
  <si>
    <t>Raggio convesso                        [m]</t>
  </si>
  <si>
    <t>Pendenza desiderata                    [%]</t>
  </si>
  <si>
    <t>p                                 [%]</t>
  </si>
  <si>
    <t>L                             [m]</t>
  </si>
  <si>
    <t>Delta pendenza [%]</t>
  </si>
  <si>
    <t>Altezza occhio [m]</t>
  </si>
  <si>
    <t>Distanza arresto [m]</t>
  </si>
  <si>
    <t>Altezza ostacolo [m]</t>
  </si>
  <si>
    <t>Altezza fari     [m]</t>
  </si>
  <si>
    <t>Angolo fari       [m]</t>
  </si>
  <si>
    <t>Raggio verticale    [m]</t>
  </si>
  <si>
    <t>Lunghezza raccordo [m]</t>
  </si>
  <si>
    <t>L</t>
  </si>
  <si>
    <t>DISTANZA ARRESTO AUTOSTRADE</t>
  </si>
  <si>
    <t>DISTANZA ARRESTO ALTRE STRADE</t>
  </si>
  <si>
    <t xml:space="preserve"> [m]</t>
  </si>
  <si>
    <t xml:space="preserve"> [km/h]</t>
  </si>
  <si>
    <t>[%]</t>
  </si>
  <si>
    <t>[km/h]</t>
  </si>
  <si>
    <t>fa</t>
  </si>
  <si>
    <t>%-km/h</t>
  </si>
  <si>
    <t>p - V</t>
  </si>
  <si>
    <t>% - km/h</t>
  </si>
  <si>
    <t>AMBITO</t>
  </si>
  <si>
    <t>Vmin</t>
  </si>
  <si>
    <t>SERVIZIO</t>
  </si>
  <si>
    <t>PRINCIPALE</t>
  </si>
  <si>
    <t>Vp1</t>
  </si>
  <si>
    <t>Vp2</t>
  </si>
  <si>
    <t>Dt</t>
  </si>
  <si>
    <t>Vp</t>
  </si>
  <si>
    <t>Dr</t>
  </si>
  <si>
    <t>ftmax</t>
  </si>
  <si>
    <t>V</t>
  </si>
  <si>
    <t>RETTIFILI MASSIMI</t>
  </si>
  <si>
    <t>Vp [km/h]</t>
  </si>
  <si>
    <t>SVILUPPO MINIMO CURVE</t>
  </si>
  <si>
    <t>Sviluppo [m]</t>
  </si>
  <si>
    <t>Angolo [°]</t>
  </si>
  <si>
    <t>A1</t>
  </si>
  <si>
    <t>A2</t>
  </si>
  <si>
    <t>VELOCITÀ DI PROGETTO SULLE RAMPE</t>
  </si>
  <si>
    <t>Tipi di rampe</t>
  </si>
  <si>
    <t>intersezioni
A-A, A-B, B-A</t>
  </si>
  <si>
    <t>intersezioni
A-C, B-B, C-A, C-B</t>
  </si>
  <si>
    <t>Curvilinea diretta</t>
  </si>
  <si>
    <t>50 ÷ 80 km/h</t>
  </si>
  <si>
    <t>40 ÷ 60 km/h</t>
  </si>
  <si>
    <t>Curvilinea semidiretta</t>
  </si>
  <si>
    <t>40 ÷ 70 km/h</t>
  </si>
  <si>
    <t>Curvilinea indiretta</t>
  </si>
  <si>
    <t>Rettilinea diretta</t>
  </si>
  <si>
    <t>60 ÷ 80 km/h</t>
  </si>
  <si>
    <t>CARATTERISTICHE PLANOALTIMETRICHE DELLE RAMPE</t>
  </si>
  <si>
    <t>Velocità di progetto</t>
  </si>
  <si>
    <t>30 km/h</t>
  </si>
  <si>
    <t>40 km/h</t>
  </si>
  <si>
    <t>50 km/h</t>
  </si>
  <si>
    <t>60 km/h</t>
  </si>
  <si>
    <t>70 km/h</t>
  </si>
  <si>
    <t>80 km/h</t>
  </si>
  <si>
    <t>Raggio planimetrico minimo</t>
  </si>
  <si>
    <t>Pendenza max salita</t>
  </si>
  <si>
    <t>Pendenza max discesa</t>
  </si>
  <si>
    <t>Pendenza trasversale minima</t>
  </si>
  <si>
    <t>Pendenza trasversale massima</t>
  </si>
  <si>
    <t>G</t>
  </si>
  <si>
    <t>H</t>
  </si>
  <si>
    <t>Raggio asse strada</t>
  </si>
  <si>
    <t>Marciapiede</t>
  </si>
  <si>
    <t>Corsia</t>
  </si>
  <si>
    <t>Numero corsie</t>
  </si>
  <si>
    <t>Banchina sx</t>
  </si>
  <si>
    <t>Emergenza
Banchina dx</t>
  </si>
  <si>
    <t>Spartitraffico metà</t>
  </si>
  <si>
    <t>tipo-km/h</t>
  </si>
  <si>
    <t>tipo-q%</t>
  </si>
  <si>
    <t>RAGGI ALTIMETRICI CONVESSI - i=-4% (A) / i=-5% (B,C,D,E,F)</t>
  </si>
  <si>
    <t>RAGGI ALTIMETRICI CONCAVI - i=-4% (A) / i=-5% (B,C,D,E,F)</t>
  </si>
  <si>
    <t>F EXT</t>
  </si>
  <si>
    <t>F URB</t>
  </si>
  <si>
    <t>RAGGI PLANIMETRICI MINIMI - p=pmax</t>
  </si>
  <si>
    <t>RAGGI PLANIMETRICI MINIMI - V=Vmax</t>
  </si>
  <si>
    <t>delta H</t>
  </si>
  <si>
    <t>DISTANZA PER SVP/STP - V=Vmax - i=4%</t>
  </si>
  <si>
    <t>DISTANZA PER SVP/STP - V=Vmin - i=4%</t>
  </si>
  <si>
    <t>195-2,5%</t>
  </si>
  <si>
    <t>225-3,6%</t>
  </si>
  <si>
    <t>CONC</t>
  </si>
  <si>
    <t>CONV</t>
  </si>
  <si>
    <t>368-1,6%</t>
  </si>
  <si>
    <t>425-1,9%</t>
  </si>
  <si>
    <t>475-2,1%</t>
  </si>
  <si>
    <t>520-2,3%</t>
  </si>
  <si>
    <t>562-2,5%</t>
  </si>
  <si>
    <t>601-2,7%</t>
  </si>
  <si>
    <t>637-2,8%</t>
  </si>
  <si>
    <t>672-3%</t>
  </si>
  <si>
    <t>Vmax</t>
  </si>
  <si>
    <t>165-3,6%</t>
  </si>
  <si>
    <t>705-3,1%</t>
  </si>
  <si>
    <t>736-3,3%</t>
  </si>
  <si>
    <t>799-3,0%</t>
  </si>
  <si>
    <t>765-2,9%</t>
  </si>
  <si>
    <t>729-2,7%</t>
  </si>
  <si>
    <t>692-2,6%</t>
  </si>
  <si>
    <t>652-2,5%</t>
  </si>
  <si>
    <t>610-2,3%</t>
  </si>
  <si>
    <t>565-2,1%</t>
  </si>
  <si>
    <t>516-1,9%</t>
  </si>
  <si>
    <t>461-1,7%</t>
  </si>
  <si>
    <t>339-1,5%</t>
  </si>
  <si>
    <t>287-2,1%</t>
  </si>
  <si>
    <t>331-2,4%</t>
  </si>
  <si>
    <t>370-2,7%</t>
  </si>
  <si>
    <t>405-3%</t>
  </si>
  <si>
    <t>438-3,2%</t>
  </si>
  <si>
    <t>468-3,4%</t>
  </si>
  <si>
    <t>497-3,6%</t>
  </si>
  <si>
    <t>523-3,8%</t>
  </si>
  <si>
    <t>200-3,0%</t>
  </si>
  <si>
    <t>231-3,5%</t>
  </si>
  <si>
    <t>259-3,9%</t>
  </si>
  <si>
    <t>405-3,0%</t>
  </si>
  <si>
    <t>Pendenza
virtuale
[%]</t>
  </si>
  <si>
    <t>Rapporto
pendenze
[%]</t>
  </si>
  <si>
    <t>VIRTUALE</t>
  </si>
  <si>
    <t>?</t>
  </si>
  <si>
    <t>NB: SE SU UN GRAFICO CON ASSI IN SCALA LOG E' DISEGNATA UNA RETTA, L'EQUAZIONE CARTESIANA E':</t>
  </si>
  <si>
    <t>y=a/x^b</t>
  </si>
  <si>
    <t>a=y(per x=1)</t>
  </si>
  <si>
    <t>b=y(per x=1)/x(per y=1)</t>
  </si>
  <si>
    <t>oppure:</t>
  </si>
  <si>
    <t>b=(log ya - log yb)/(log xb - log xa)</t>
  </si>
  <si>
    <t>a=ya * xa^b</t>
  </si>
  <si>
    <t>Visibilità tra una corsia e l'altra</t>
  </si>
  <si>
    <t>Visibilità corsia sorpasso carreggiata esterna</t>
  </si>
  <si>
    <t>VEL</t>
  </si>
  <si>
    <t>Da</t>
  </si>
  <si>
    <t>Dc</t>
  </si>
  <si>
    <t>Ds</t>
  </si>
  <si>
    <t>R</t>
  </si>
  <si>
    <t>SCOST</t>
  </si>
  <si>
    <t>IN</t>
  </si>
  <si>
    <t>OUT</t>
  </si>
  <si>
    <t>Distanza di arresto desiderata</t>
  </si>
  <si>
    <t>Delta tra asse corsia ed ingombro</t>
  </si>
  <si>
    <t>L1</t>
  </si>
  <si>
    <t>L2</t>
  </si>
  <si>
    <t>TOT</t>
  </si>
  <si>
    <t>ANG AL CENTRO</t>
  </si>
  <si>
    <t>Dc = Distanza Cambiamento Corsia
Ds = Distanza Sorpasso</t>
  </si>
  <si>
    <t>RAGGIO - CLOTOIDE - RETTILINEO</t>
  </si>
  <si>
    <t>Sv</t>
  </si>
  <si>
    <t>St</t>
  </si>
  <si>
    <t>(A1+A2)/12,5</t>
  </si>
  <si>
    <t>Distanza vertici</t>
  </si>
  <si>
    <t>T</t>
  </si>
  <si>
    <t>T1</t>
  </si>
  <si>
    <t>T2</t>
  </si>
  <si>
    <t>SENZA CLOTOIDE</t>
  </si>
  <si>
    <t>CON CLOTOIDE</t>
  </si>
  <si>
    <t>t2</t>
  </si>
  <si>
    <t>Tl</t>
  </si>
  <si>
    <t>Tk</t>
  </si>
  <si>
    <t>Sv clot</t>
  </si>
  <si>
    <t>CURVA1</t>
  </si>
  <si>
    <t>CURVA2</t>
  </si>
  <si>
    <t>RETTILINEO</t>
  </si>
  <si>
    <t>L rett</t>
  </si>
  <si>
    <t>b</t>
  </si>
  <si>
    <t>BARRIERA</t>
  </si>
  <si>
    <t>MARGINE</t>
  </si>
  <si>
    <t>CORSIA</t>
  </si>
  <si>
    <t>R-asse esterno</t>
  </si>
  <si>
    <t>R-asse</t>
  </si>
  <si>
    <t>Darresto</t>
  </si>
  <si>
    <t>asse corsia-barriera</t>
  </si>
  <si>
    <t>Allargamento esterno</t>
  </si>
  <si>
    <t>RAGGIO PER SPANCIAMENTO CARREGGIATA ESTERNA DATO D-ARRESTO</t>
  </si>
  <si>
    <t>R-barriera esterna</t>
  </si>
  <si>
    <t>R-Asse corsia esterna</t>
  </si>
  <si>
    <t>[m]</t>
  </si>
  <si>
    <t>RAGGIO PER SPANCIAMENTO CARREGGIATA ESTERNA DATO D-CAMBIO CORSIA</t>
  </si>
  <si>
    <t>Dcambio</t>
  </si>
  <si>
    <t>R-Asse corsia sorp esterna</t>
  </si>
  <si>
    <t>Raggio asse autostrada</t>
  </si>
  <si>
    <t>SPOSTAMENTO CARREGGIATA INTERNA</t>
  </si>
  <si>
    <t>R Flesso</t>
  </si>
  <si>
    <t>L Flesso</t>
  </si>
  <si>
    <t>R asse</t>
  </si>
  <si>
    <t>SPOSTAMENTO CARREGGIATA ESTERNA</t>
  </si>
  <si>
    <t>L clot</t>
  </si>
  <si>
    <t>A clot</t>
  </si>
  <si>
    <t>5-12</t>
  </si>
  <si>
    <t>6-12</t>
  </si>
  <si>
    <t>RAGGIO VERTICALE IN FUNZIONE DELLA DISTANZA ARRESTO E PENDENZA</t>
  </si>
  <si>
    <t>Allargamento</t>
  </si>
  <si>
    <t>Banchina</t>
  </si>
  <si>
    <t>Spartitraffico</t>
  </si>
  <si>
    <t>Raggio asse</t>
  </si>
  <si>
    <t>Raggio corsia</t>
  </si>
  <si>
    <t>Raggio sorpasso</t>
  </si>
  <si>
    <t>cos</t>
  </si>
  <si>
    <t>sen</t>
  </si>
  <si>
    <t>c</t>
  </si>
  <si>
    <t>ALLARGAMENTO NECESSARIO PER DATA DISTANZA DI VISIBILITA'</t>
  </si>
  <si>
    <t>RAGGIO NECESSARIO PER DATA DA</t>
  </si>
  <si>
    <t>DISTANZE</t>
  </si>
  <si>
    <t>PLANIMETRIA</t>
  </si>
  <si>
    <t>ALTIMETRIA</t>
  </si>
  <si>
    <t>%VEL</t>
  </si>
  <si>
    <t>LUNGHEZZA CORSIA DECELERAZIONE</t>
  </si>
  <si>
    <t>LUNGHEZZA CORSIA ACCELERAZIONE</t>
  </si>
  <si>
    <t>R/V</t>
  </si>
  <si>
    <t>ANGOLO AL CENTRO MINIMO PER AVERE A=R/3 ÷ Sv=2,5 secondi</t>
  </si>
  <si>
    <t>i1 [%]</t>
  </si>
  <si>
    <t>i2 [%]</t>
  </si>
  <si>
    <t>dP</t>
  </si>
  <si>
    <t>PARAMETRI RACCORDI VERTICALI</t>
  </si>
  <si>
    <t>F (B)</t>
  </si>
  <si>
    <t>Quota V</t>
  </si>
  <si>
    <t>Progressiva V</t>
  </si>
  <si>
    <t>IT</t>
  </si>
  <si>
    <t>FT</t>
  </si>
  <si>
    <t>ANG</t>
  </si>
  <si>
    <t>Tangente</t>
  </si>
  <si>
    <t>ANGOLO DI USCITA DELLA RAMPA IN CORRISPONDENZA DELL MARGINE</t>
  </si>
  <si>
    <t>PENDENZA LONGITUDINALE STRADA PRINCIPALE</t>
  </si>
  <si>
    <t>PENDENZA TRASVERSALE STRADA PRINCIPALE</t>
  </si>
  <si>
    <t>PENDENZA LONGITUDINALE INIZIALE DELLA RAMPA</t>
  </si>
  <si>
    <t>[°]</t>
  </si>
  <si>
    <t>CALCOLO PENDENZA LONG RAMPA DI USCITA</t>
  </si>
  <si>
    <t>ANGOLO DI USCITA RAMPA</t>
  </si>
  <si>
    <t>BANCHINA STRADA PRINCIPALE</t>
  </si>
  <si>
    <t>PENDENZA SCARPATA</t>
  </si>
  <si>
    <t>ANGOLO RISPETTO PERPENDICOLARE SCARPATA</t>
  </si>
  <si>
    <t>PENDENZA REALE</t>
  </si>
  <si>
    <t>ALLARGAMENTI PROGRESSIVI PER CORSIA CENTRALE DI ACCUMULO</t>
  </si>
  <si>
    <t>DARIOS</t>
  </si>
  <si>
    <t>FLESSI</t>
  </si>
  <si>
    <t>SAETTA</t>
  </si>
  <si>
    <t>GRADI - PENDENZA</t>
  </si>
  <si>
    <t>a</t>
  </si>
  <si>
    <t>p</t>
  </si>
  <si>
    <t>a [°]</t>
  </si>
  <si>
    <t>p [%]</t>
  </si>
  <si>
    <t>349-1813748</t>
  </si>
  <si>
    <t>cell:</t>
  </si>
  <si>
    <t>mail:</t>
  </si>
  <si>
    <t>Visibilità sorpasso-marcia carreggiata interna</t>
  </si>
  <si>
    <t>K</t>
  </si>
  <si>
    <t>Visibilità sorpasso-marcia carreggiata esterna</t>
  </si>
  <si>
    <t>ra</t>
  </si>
  <si>
    <t>rb</t>
  </si>
  <si>
    <t>rt</t>
  </si>
  <si>
    <t>gamma</t>
  </si>
  <si>
    <t>alpha</t>
  </si>
  <si>
    <t>d</t>
  </si>
  <si>
    <t>RAGGI VISUALI</t>
  </si>
  <si>
    <t>VEL COMPAT</t>
  </si>
  <si>
    <t>ARRETRAMENTO</t>
  </si>
  <si>
    <t>V1</t>
  </si>
  <si>
    <t>V2</t>
  </si>
  <si>
    <t>Ldec</t>
  </si>
  <si>
    <t>Lacc</t>
  </si>
  <si>
    <t>V2dec</t>
  </si>
  <si>
    <t>V2acc</t>
  </si>
  <si>
    <t>V1&gt;</t>
  </si>
  <si>
    <t>V1dec</t>
  </si>
  <si>
    <t>V1acc</t>
  </si>
  <si>
    <t>COMFORT</t>
  </si>
  <si>
    <t>ROTATORIA IN PENDENZA</t>
  </si>
  <si>
    <t>X</t>
  </si>
  <si>
    <t>Y</t>
  </si>
  <si>
    <t>yb-ya</t>
  </si>
  <si>
    <t>1^ sol</t>
  </si>
  <si>
    <t>2^ sol</t>
  </si>
  <si>
    <t>Scelta</t>
  </si>
  <si>
    <t>Punto iniziale del tracciato</t>
  </si>
  <si>
    <t>2pi/L*xb</t>
  </si>
  <si>
    <t>P</t>
  </si>
  <si>
    <t>2pi/L*xc</t>
  </si>
  <si>
    <t>yb-yc</t>
  </si>
  <si>
    <t>D=A</t>
  </si>
  <si>
    <t>Punto finale del tracciato</t>
  </si>
  <si>
    <t>h</t>
  </si>
  <si>
    <t>Y=Asin(2pi/L*x+P)+H</t>
  </si>
  <si>
    <t>Valutazione numerica di P (fase)</t>
  </si>
  <si>
    <t>Disegno profilo</t>
  </si>
  <si>
    <t>x</t>
  </si>
  <si>
    <t>y</t>
  </si>
  <si>
    <t>2pi/L</t>
  </si>
  <si>
    <t>VMP</t>
  </si>
  <si>
    <t>SVINCOLO 1</t>
  </si>
  <si>
    <t>SVINCOLO 2</t>
  </si>
  <si>
    <t>Raggi minimi verticali convessi</t>
  </si>
  <si>
    <t>Raggi minimi verticali concavi</t>
  </si>
  <si>
    <t>Visibilità longitudinale minima</t>
  </si>
  <si>
    <t>V curva</t>
  </si>
  <si>
    <t>acc</t>
  </si>
  <si>
    <t>dec</t>
  </si>
  <si>
    <t>Allargamento emergenza carreggiata interna</t>
  </si>
  <si>
    <t>Allargamento banchina carreggiata esterna</t>
  </si>
  <si>
    <t>N</t>
  </si>
  <si>
    <t>i</t>
  </si>
  <si>
    <t>DM 1699 19/04/2006</t>
  </si>
  <si>
    <t>RR7 24/04/2006</t>
  </si>
  <si>
    <t>ASPI</t>
  </si>
  <si>
    <t>CONTROLLA FORMULA CLOTOIDE</t>
  </si>
  <si>
    <t>Vi</t>
  </si>
  <si>
    <t>Vf</t>
  </si>
  <si>
    <t>sec</t>
  </si>
  <si>
    <t>km/h</t>
  </si>
  <si>
    <t>tau</t>
  </si>
  <si>
    <t>D1</t>
  </si>
  <si>
    <t>ro</t>
  </si>
  <si>
    <t>Cx</t>
  </si>
  <si>
    <t>S</t>
  </si>
  <si>
    <t>m</t>
  </si>
  <si>
    <t>kg</t>
  </si>
  <si>
    <t>Ra/m</t>
  </si>
  <si>
    <t>%</t>
  </si>
  <si>
    <t>g</t>
  </si>
  <si>
    <t>D2</t>
  </si>
  <si>
    <t>da</t>
  </si>
  <si>
    <t>N/kg</t>
  </si>
  <si>
    <t>DISTANZA DI ARRESTO PER AUTOSTRADE CON CALCOLO INTEGRALE</t>
  </si>
  <si>
    <t>DISTANZA DI ARRESTO PER ALTRE STRADE CON CALCOLO INTEGRALE</t>
  </si>
  <si>
    <t>v [km/h]</t>
  </si>
  <si>
    <t>fs [auto eq/h]</t>
  </si>
  <si>
    <t>f [auto eq/h]</t>
  </si>
  <si>
    <t>L [m]</t>
  </si>
  <si>
    <t>non vincolato</t>
  </si>
  <si>
    <t>vincolato</t>
  </si>
  <si>
    <t>vm [km/h]</t>
  </si>
  <si>
    <t>D [auto/km]</t>
  </si>
  <si>
    <t>Densità</t>
  </si>
  <si>
    <t>Livello</t>
  </si>
  <si>
    <t>DISTANZA TRANSIZIONE</t>
  </si>
  <si>
    <t>RAGGIO - VELOCITA'</t>
  </si>
  <si>
    <t>TRATTO DI RACCORDO</t>
  </si>
  <si>
    <t>Allarg. [m]</t>
  </si>
  <si>
    <t>Ambito</t>
  </si>
  <si>
    <t>AUTOSTRADE</t>
  </si>
  <si>
    <t>n.p.</t>
  </si>
  <si>
    <t>LOCALI</t>
  </si>
  <si>
    <t>VICINALI</t>
  </si>
  <si>
    <t>2=AUTOSTR, 3=STRADE</t>
  </si>
  <si>
    <t>EQUILIBRIO CURVA P MAX</t>
  </si>
  <si>
    <t>R* [m]</t>
  </si>
  <si>
    <t>qmax [%]</t>
  </si>
  <si>
    <t>Vmax [km/h]</t>
  </si>
  <si>
    <t>R2,5 [m]</t>
  </si>
  <si>
    <t>qmin [%]</t>
  </si>
  <si>
    <t>R2,5/R*</t>
  </si>
  <si>
    <t>n</t>
  </si>
  <si>
    <t>k</t>
  </si>
  <si>
    <t xml:space="preserve"> CURVA V MAX</t>
  </si>
  <si>
    <t>e</t>
  </si>
  <si>
    <t>f</t>
  </si>
  <si>
    <t>EQUAZIONE</t>
  </si>
  <si>
    <t>Rconc</t>
  </si>
  <si>
    <t>Rconv</t>
  </si>
  <si>
    <t>Da -5%</t>
  </si>
  <si>
    <t>DATI CRITICI AUTOSTRADE 1.30-0.70-3.75-3.75-3.50</t>
  </si>
  <si>
    <t>Rmin 5%</t>
  </si>
  <si>
    <t>R 2.5%</t>
  </si>
  <si>
    <t>Rett min</t>
  </si>
  <si>
    <t>Rett max</t>
  </si>
  <si>
    <t>Sv min R</t>
  </si>
  <si>
    <t>R no all Da</t>
  </si>
  <si>
    <t>D ric</t>
  </si>
  <si>
    <t>Dr [m]</t>
  </si>
  <si>
    <t>DISTANZA DI RICOMPARSA</t>
  </si>
  <si>
    <t>R no all Ds</t>
  </si>
  <si>
    <t>R no all Dc</t>
  </si>
  <si>
    <t>Banchina dx</t>
  </si>
  <si>
    <t>Allargam sx</t>
  </si>
  <si>
    <t>Allargam dx</t>
  </si>
  <si>
    <t>Raggio asse segn. sx</t>
  </si>
  <si>
    <t>Visibilità sulla corsia interna</t>
  </si>
  <si>
    <t>Visibilità curva SX</t>
  </si>
  <si>
    <t>Visibilità corsia marcia carreggiata interna</t>
  </si>
  <si>
    <t>Visibilità curva DX</t>
  </si>
  <si>
    <t>acadballa@acadballa.com</t>
  </si>
  <si>
    <t>web:</t>
  </si>
  <si>
    <t>www.acadballa.com</t>
  </si>
  <si>
    <t>PENDENZA TRASVERSALI TRA UNA SEZIONE E L'ALTRA</t>
  </si>
  <si>
    <t>prog.i.</t>
  </si>
  <si>
    <t>prog.</t>
  </si>
  <si>
    <t>prog.f.</t>
  </si>
  <si>
    <t>pend. trasv.</t>
  </si>
  <si>
    <t>p sx f %</t>
  </si>
  <si>
    <t>p dx f %</t>
  </si>
  <si>
    <t>p sx i %</t>
  </si>
  <si>
    <t>d dx i %</t>
  </si>
  <si>
    <t>R*</t>
  </si>
  <si>
    <t>R conc</t>
  </si>
  <si>
    <t>R conv</t>
  </si>
  <si>
    <t>2,65 1,65</t>
  </si>
  <si>
    <t>1,65 0,60</t>
  </si>
  <si>
    <t>1,60 0,50</t>
  </si>
  <si>
    <t>1,95 0,80</t>
  </si>
  <si>
    <t>1,45 0,30</t>
  </si>
  <si>
    <t>2,50 1,35</t>
  </si>
  <si>
    <t>2,05 0,90</t>
  </si>
  <si>
    <t>1,70 0,50</t>
  </si>
  <si>
    <t>1,40 0,20</t>
  </si>
  <si>
    <t>3,20 2,10</t>
  </si>
  <si>
    <t>2,80 1,65</t>
  </si>
  <si>
    <t>2,45 1,25</t>
  </si>
  <si>
    <t>2,10 0,95</t>
  </si>
  <si>
    <t>1,85 0,65</t>
  </si>
  <si>
    <t>1,60 0,40</t>
  </si>
  <si>
    <t>1,35 015</t>
  </si>
  <si>
    <t>3,70 2,55</t>
  </si>
  <si>
    <t>3,30 2,15</t>
  </si>
  <si>
    <t>3,00 1,80</t>
  </si>
  <si>
    <t>2,70 1,50</t>
  </si>
  <si>
    <t>2,20 1,00</t>
  </si>
  <si>
    <t>1,80 0,55</t>
  </si>
  <si>
    <t>1,45 0,20</t>
  </si>
  <si>
    <t>A1ep - VELOCITA RAGGIO PENDENZA ALLARGAMENTI RAGGI VERTICALI DISTANZA ARRESTO</t>
  </si>
  <si>
    <t>B1ep - VELOCITA RAGGIO PENDENZA ALLARGAMENTI RAGGI VERTICALI DISTANZA ARRESTO</t>
  </si>
  <si>
    <t>p\da (-5%)</t>
  </si>
  <si>
    <t>p\da (-4%)</t>
  </si>
  <si>
    <t>da (-5%)</t>
  </si>
  <si>
    <t>2,85 0,65</t>
  </si>
  <si>
    <t>3,30 1,05</t>
  </si>
  <si>
    <t>2,90 0,70</t>
  </si>
  <si>
    <t>2,60 0,35</t>
  </si>
  <si>
    <t>2,30 0,10</t>
  </si>
  <si>
    <t>3,95 1,70</t>
  </si>
  <si>
    <t>3,60 1,35</t>
  </si>
  <si>
    <t>2,75 0,50</t>
  </si>
  <si>
    <t>2,30 0,05</t>
  </si>
  <si>
    <t>4,30 2,10</t>
  </si>
  <si>
    <t>3,75 1,50</t>
  </si>
  <si>
    <t>3,25 1,00</t>
  </si>
  <si>
    <t>2,85 0,60</t>
  </si>
  <si>
    <t>2,50 0,20</t>
  </si>
  <si>
    <t>C1ep - VELOCITA RAGGIO PENDENZA ALLARGAMENTI RAGGI VERTICALI DISTANZA ARRESTO</t>
  </si>
  <si>
    <t>ROTATORIA IN AMBITO EXTRAURBANO</t>
  </si>
  <si>
    <t>METODO FRANCESE SETRA</t>
  </si>
  <si>
    <t>SEP</t>
  </si>
  <si>
    <t>Qu [veic/h]</t>
  </si>
  <si>
    <t>Q'u [veic/h]</t>
  </si>
  <si>
    <t>ANN</t>
  </si>
  <si>
    <t>Qc [veic/h]</t>
  </si>
  <si>
    <t>Qd [veic/h]</t>
  </si>
  <si>
    <t>ENT</t>
  </si>
  <si>
    <t>Qe [veic/h]</t>
  </si>
  <si>
    <t>ROTATORIA IN AMBITO URBANO</t>
  </si>
  <si>
    <t>METODO CETUR</t>
  </si>
  <si>
    <t>Nci</t>
  </si>
  <si>
    <t>CORSIA DI DECELERZIONE - USCITA</t>
  </si>
  <si>
    <t>CORSIA DI ACCELERAZIONE - ENTRATA</t>
  </si>
  <si>
    <t>Totale</t>
  </si>
  <si>
    <t>Raggio esterno</t>
  </si>
  <si>
    <t>Corsia esterna</t>
  </si>
  <si>
    <t>Corsia interna</t>
  </si>
  <si>
    <t>V2&lt;</t>
  </si>
  <si>
    <t>%V1</t>
  </si>
  <si>
    <t>pianura</t>
  </si>
  <si>
    <t>montagna</t>
  </si>
  <si>
    <t>V85</t>
  </si>
  <si>
    <t>Rm</t>
  </si>
  <si>
    <t>minimo</t>
  </si>
  <si>
    <t>Rnd</t>
  </si>
  <si>
    <t>Clotoidi per R&lt;1,5Rnd</t>
  </si>
  <si>
    <t>L=max tra 14 x Delta p%  e  R/9</t>
  </si>
  <si>
    <t>Pendenza longitudinale</t>
  </si>
  <si>
    <t>non versato</t>
  </si>
  <si>
    <t>massima</t>
  </si>
  <si>
    <t>Raggio convesso</t>
  </si>
  <si>
    <t>Raggio concavo</t>
  </si>
  <si>
    <t>Raggio verticale &gt; 6 x Raggio planimetrico</t>
  </si>
  <si>
    <t>Corsie</t>
  </si>
  <si>
    <t>Pendenza trasversale lineare da 2,5% a 7% con 1/R da Rm e Rnd</t>
  </si>
  <si>
    <t>A=</t>
  </si>
  <si>
    <t>L=R / 9</t>
  </si>
  <si>
    <t>L=max</t>
  </si>
  <si>
    <t>L=14 x dp%</t>
  </si>
  <si>
    <t>separazione corsie e sensi marcia &gt;110</t>
  </si>
  <si>
    <t>separazione corsie e sensi marcia 50&lt;110</t>
  </si>
  <si>
    <t>separazione corsie e sensi marcia &lt;50</t>
  </si>
  <si>
    <t>prima di striscia continua</t>
  </si>
  <si>
    <t>corsie acc e dec</t>
  </si>
  <si>
    <t>accessi</t>
  </si>
  <si>
    <t>guida intersezioni</t>
  </si>
  <si>
    <t>corsie reversibili</t>
  </si>
  <si>
    <t>DISTANZA DI ARRESTO - AUTOSTRADE (A)</t>
  </si>
  <si>
    <t>DISTANZA DI ARRESTO - ALTRE STRADE (B C D E F)</t>
  </si>
  <si>
    <t>ACCELERAZIONE</t>
  </si>
  <si>
    <t>DECELERAZIONE</t>
  </si>
  <si>
    <t>contatti</t>
  </si>
  <si>
    <t>comfort</t>
  </si>
  <si>
    <t>Velocità
[km/h]</t>
  </si>
  <si>
    <t>RACCORDI VERTICALI AUTOSTRADE (A)</t>
  </si>
  <si>
    <t>RACCORDI VERTICALI  ALTRE STRADE (B C D E F)</t>
  </si>
  <si>
    <t>VALORI DA DIST VIS</t>
  </si>
  <si>
    <t>EXTRAURBANE (B D) - OSTACOLI ALLA VISIBILITA' IN GALLERIA - TRINCEA TRA MURI - GUARDRAIL</t>
  </si>
  <si>
    <t>AUTOSTRADE (A) - OSTACOLI ALLA VISIBILITA' IN GALLERIA - TRINCEA TRA MURI - GUARDRAIL</t>
  </si>
  <si>
    <t>SP</t>
  </si>
  <si>
    <t>BSX</t>
  </si>
  <si>
    <t>NC</t>
  </si>
  <si>
    <t>BDX</t>
  </si>
  <si>
    <t>LS</t>
  </si>
  <si>
    <t>A1EP2</t>
  </si>
  <si>
    <t>A1EP3</t>
  </si>
  <si>
    <t>A1ES1</t>
  </si>
  <si>
    <t>A1ES2</t>
  </si>
  <si>
    <t>Rmin</t>
  </si>
  <si>
    <t>R2,5</t>
  </si>
  <si>
    <t>q max</t>
  </si>
  <si>
    <t>Pmax</t>
  </si>
  <si>
    <t>LSM</t>
  </si>
  <si>
    <t>LSC</t>
  </si>
  <si>
    <t>R no clotoide</t>
  </si>
  <si>
    <t>&gt;120</t>
  </si>
  <si>
    <t>&lt;80</t>
  </si>
  <si>
    <t>&lt;120</t>
  </si>
  <si>
    <t>R'</t>
  </si>
  <si>
    <t>A1UP2</t>
  </si>
  <si>
    <t>A1UP3</t>
  </si>
  <si>
    <t>A1US1</t>
  </si>
  <si>
    <t>A1US2</t>
  </si>
  <si>
    <t>A2EP2</t>
  </si>
  <si>
    <t>A2EP3</t>
  </si>
  <si>
    <t>A2ES1</t>
  </si>
  <si>
    <t>A2ES2</t>
  </si>
  <si>
    <t>A2UP2</t>
  </si>
  <si>
    <t>A2UP3</t>
  </si>
  <si>
    <t>A2US1</t>
  </si>
  <si>
    <t>A2US2</t>
  </si>
  <si>
    <t>BP2</t>
  </si>
  <si>
    <t>BP3</t>
  </si>
  <si>
    <t>BS1</t>
  </si>
  <si>
    <t>BS2</t>
  </si>
  <si>
    <t>DP2</t>
  </si>
  <si>
    <t>DP3</t>
  </si>
  <si>
    <t>MDX</t>
  </si>
  <si>
    <t>DP2B</t>
  </si>
  <si>
    <t>F1U</t>
  </si>
  <si>
    <t>F2U</t>
  </si>
  <si>
    <t>BUS</t>
  </si>
  <si>
    <t>EXTRAURBANO</t>
  </si>
  <si>
    <t>TIPO</t>
  </si>
  <si>
    <t>CATEGORIA</t>
  </si>
  <si>
    <t>DS1</t>
  </si>
  <si>
    <t>DS1B</t>
  </si>
  <si>
    <t>E2S</t>
  </si>
  <si>
    <t>E1B</t>
  </si>
  <si>
    <t>B EXTRAURBANE PRINCIPALI</t>
  </si>
  <si>
    <t>C EXTRAURBANE SECONDARIE</t>
  </si>
  <si>
    <t>D URBANE DI SCORRIMENTO</t>
  </si>
  <si>
    <t>E URBANE DI QUARTIERE</t>
  </si>
  <si>
    <t>F LOCALI</t>
  </si>
  <si>
    <t>A1 AUTOSTRADE</t>
  </si>
  <si>
    <t>A2 AUTOSTRADE</t>
  </si>
  <si>
    <t>Q</t>
  </si>
  <si>
    <t>pmax</t>
  </si>
  <si>
    <t>qmax</t>
  </si>
  <si>
    <t>STRADE AD UNA CARREGGIATA (C E F) - OSTACOLI ALLA VISIBILITA'</t>
  </si>
  <si>
    <t>B-USER</t>
  </si>
  <si>
    <t>A2-USER</t>
  </si>
  <si>
    <t>A1-USER</t>
  </si>
  <si>
    <t>D-USER</t>
  </si>
  <si>
    <t>E-USER</t>
  </si>
  <si>
    <t>F1-USER</t>
  </si>
  <si>
    <t>F2-USER</t>
  </si>
  <si>
    <t>C1-USER</t>
  </si>
  <si>
    <t>C2-USER</t>
  </si>
  <si>
    <t>R NO ALL DA</t>
  </si>
  <si>
    <t>GRADI</t>
  </si>
  <si>
    <t>RAD</t>
  </si>
  <si>
    <t>COS</t>
  </si>
  <si>
    <t>1-X^2/2</t>
  </si>
  <si>
    <t>1-X^2/2+X^4/24</t>
  </si>
  <si>
    <t>1-X^2/2+X^4/24-X^6-720</t>
  </si>
  <si>
    <t>TAYLOR</t>
  </si>
  <si>
    <t>USA RISOLUTORE CON OBIETTIVO S7, CELLA VARIABILE R7</t>
  </si>
  <si>
    <t>DISTANZA ARRESTO</t>
  </si>
  <si>
    <t>DA [m]</t>
  </si>
  <si>
    <t>Pendenza [%]</t>
  </si>
  <si>
    <t xml:space="preserve">Lunghezza         </t>
  </si>
  <si>
    <t>Altezza</t>
  </si>
  <si>
    <t>P conc %</t>
  </si>
  <si>
    <t>P conv %</t>
  </si>
  <si>
    <t>RACCORDI CONCAVI</t>
  </si>
  <si>
    <t>RACCORDI CONVESSI</t>
  </si>
  <si>
    <t>SACCHE</t>
  </si>
  <si>
    <t>DOSSI</t>
  </si>
  <si>
    <t>LUNGHEZZA RAMPE (A)</t>
  </si>
  <si>
    <t>LUNGHEZZA RAMPE (B C D E F)</t>
  </si>
  <si>
    <t>%errore</t>
  </si>
  <si>
    <t>RAGGIO</t>
  </si>
  <si>
    <t>VISIBILITA'</t>
  </si>
  <si>
    <t>DATA</t>
  </si>
  <si>
    <t>CONTENUTO</t>
  </si>
  <si>
    <t>FOGLIO</t>
  </si>
  <si>
    <t>VISIBILITA GARANTITA IN FUNZIONE DEL RAGGIO</t>
  </si>
  <si>
    <t>TABELLA</t>
  </si>
  <si>
    <t>AGGIUNTA FORMULA PER RACCORDI CONCAVI</t>
  </si>
  <si>
    <t>CHANGE LOG</t>
  </si>
  <si>
    <t xml:space="preserve">Rconc </t>
  </si>
  <si>
    <t xml:space="preserve">Rconv </t>
  </si>
  <si>
    <t>AGGIUNTO RIFERIMENTO AI RAGGI VERTICALI</t>
  </si>
  <si>
    <t>Li</t>
  </si>
  <si>
    <t>Lm</t>
  </si>
  <si>
    <t>Ld</t>
  </si>
  <si>
    <t>Clot</t>
  </si>
  <si>
    <t>Lr</t>
  </si>
  <si>
    <t>CORSIE DI ACCELERAZIONE / DECELERAZIONE</t>
  </si>
  <si>
    <t>MODIFICATE INTESTAZIONI TABELLA PER TRATTI DI IMMISSIONE, RACCORDO, MANOVRA…</t>
  </si>
  <si>
    <t>SETRA</t>
  </si>
  <si>
    <t>CORRETTA FORMULA TRAFFICO DISTURBO, AGGIUNTE DESCRIZIONI</t>
  </si>
  <si>
    <t>FLUSSI ENTRANTI</t>
  </si>
  <si>
    <t>DA CREMONA</t>
  </si>
  <si>
    <t>DA CASELLO</t>
  </si>
  <si>
    <t>DA GRONDA</t>
  </si>
  <si>
    <t>DA MANTOVA</t>
  </si>
  <si>
    <t>FLUSSI USCENTI</t>
  </si>
  <si>
    <t>FLUSSI CIRCOLANTI</t>
  </si>
  <si>
    <t>Qe</t>
  </si>
  <si>
    <t>Qu</t>
  </si>
  <si>
    <t>Qc</t>
  </si>
  <si>
    <t>TRAFFICO DI DISTURBO</t>
  </si>
  <si>
    <t>Qd</t>
  </si>
  <si>
    <t>Qu'</t>
  </si>
  <si>
    <t>[veic/h]</t>
  </si>
  <si>
    <t>Q'e</t>
  </si>
  <si>
    <t>FLUSSO ENTRANTE EQUIVALENTE</t>
  </si>
  <si>
    <t>RISERVA DI CAPACITA'</t>
  </si>
  <si>
    <t>QeK</t>
  </si>
  <si>
    <t>Qe1</t>
  </si>
  <si>
    <t>Qe2</t>
  </si>
  <si>
    <t>Qe3</t>
  </si>
  <si>
    <t>Qe4</t>
  </si>
  <si>
    <t>Qt</t>
  </si>
  <si>
    <t>MATRICE INVERSA</t>
  </si>
  <si>
    <t>K'</t>
  </si>
  <si>
    <t>Ris</t>
  </si>
  <si>
    <t>s</t>
  </si>
  <si>
    <t>tm [s]</t>
  </si>
  <si>
    <t>LOS</t>
  </si>
  <si>
    <t>GEOMETRIA [m]</t>
  </si>
  <si>
    <t>PERCENTUALI DI SVOLTA [O/D] [%]</t>
  </si>
  <si>
    <t>ROTATORIA 4 RAMI</t>
  </si>
  <si>
    <t>METODO FRANCESE SETRA - AMBITO EXTRAURBANO</t>
  </si>
  <si>
    <t>METODO CETUR - AMBITO URBANO</t>
  </si>
  <si>
    <t>Nc</t>
  </si>
  <si>
    <t>RAGGIO ESTERNO ROTATORIA</t>
  </si>
  <si>
    <t>LARGHEZZA ANELLO</t>
  </si>
  <si>
    <t>NUMERO CORSIE IN INGRESSO</t>
  </si>
  <si>
    <t>ISOLA SPARTITRAFFICO</t>
  </si>
  <si>
    <t>LARGHEZZA CORSIA IN ENTRATA</t>
  </si>
  <si>
    <t>CALCOLO MATRICIALE SETRA 4</t>
  </si>
  <si>
    <t>CALCOLO MATRICIALE CETUR 4</t>
  </si>
  <si>
    <t>GRADO DI SATURAZIONE</t>
  </si>
  <si>
    <t>PORTATE IN CORRISPONDENZA DELLA CONGESTIONE SU UN RAMO</t>
  </si>
  <si>
    <t>RAGGIUNGIMENTO SIMULTANEO DELLA CAPACITA' SU TUTTI I RAMI</t>
  </si>
  <si>
    <t>CAPACITA' DI BRACCIO</t>
  </si>
  <si>
    <t>CAPACITA SEMPLICE</t>
  </si>
  <si>
    <t>PER TROVARE SATURAZIONE</t>
  </si>
  <si>
    <t>Q2=(1330-0,7*(Q1*(N13+N14)+Q4*N43+2/3*(Q1*N12+Q3*N32+Q4*N42)*S2)*A2)*E2</t>
  </si>
  <si>
    <t>Q1=(1330-0,7*(Q4*(N42+N43)+Q3*N32+2/3*(Q2*N21+Q3*N31+Q4*N41)*S1)*A1)*E1</t>
  </si>
  <si>
    <t>Q3=(1330-0,7*(Q2*(N24+N21)+Q1*N14+2/3*(Q1*N13+Q2*N23+Q4*N13)*S3)*A3)*E3</t>
  </si>
  <si>
    <t>Q4=(1330-0,7*(Q3*(N31+N32)+Q2*N21+2/3*(Q1*N14+Q2*N24+Q3*N34)*S4)*A4)*E4</t>
  </si>
  <si>
    <t>SISTEMA DA RISOLVERE</t>
  </si>
  <si>
    <t>Q1=G1*(1500-5/6*(A*(Q4*(N42+N43)+Q3*N32)+0,2*(Q2*N21+Q3*N31+Q4*N41)))</t>
  </si>
  <si>
    <t>Q2=G2*(1500-5/6*(A*(Q1*(N13+N14)+Q4*N43)+0,2*(Q1*N12+Q3*N32+Q4*N42)))</t>
  </si>
  <si>
    <t>Q3=G3*(1500-5/6*(A*(Q2*(N24+N21)+Q1*N14)+0,2*(Q1*N13+Q2*N23+Q4*N43)))</t>
  </si>
  <si>
    <t>Q4=G4*(1500-5/6*(A*(Q3*(N31+N32)+Q2*N21)+0,2*(Q1*N14+Q2*N24+Q3*N34)))</t>
  </si>
  <si>
    <t>TERMINE NOTO</t>
  </si>
  <si>
    <t>COEFFICENTI</t>
  </si>
  <si>
    <t>1330/A/0,7</t>
  </si>
  <si>
    <t>1500/5*6</t>
  </si>
  <si>
    <t>1/0,7/A/E1</t>
  </si>
  <si>
    <t>1/0,7/A/E2</t>
  </si>
  <si>
    <t>1/0,7/A/E3</t>
  </si>
  <si>
    <t>1/0,7/A/E4</t>
  </si>
  <si>
    <t>2/3*N21*S1</t>
  </si>
  <si>
    <t>N32+2/3*N31*S1</t>
  </si>
  <si>
    <t>N42+N43+2/3*N41*S1</t>
  </si>
  <si>
    <t>N13+N14+2/3*N12*S2</t>
  </si>
  <si>
    <t>2/3*N32*S2</t>
  </si>
  <si>
    <t>N43+2/3*N42*S2</t>
  </si>
  <si>
    <t>N14+2/3*N13*S3</t>
  </si>
  <si>
    <t>N24+N21+2/3*N23*S3</t>
  </si>
  <si>
    <t>2/3*N13*S3</t>
  </si>
  <si>
    <t>2/3*N14*S4</t>
  </si>
  <si>
    <t>N21+2/3*N24*S4</t>
  </si>
  <si>
    <t>N31+N32+2/3*N34*S4</t>
  </si>
  <si>
    <t>1/G1/5*6</t>
  </si>
  <si>
    <t>1/G2/5*6</t>
  </si>
  <si>
    <t>1/G3/5*6</t>
  </si>
  <si>
    <t>1/G4/5*6</t>
  </si>
  <si>
    <t>0,2*N21</t>
  </si>
  <si>
    <t>A*N32+0,2*N31</t>
  </si>
  <si>
    <t>A*(N42+N43)+0,2*N41</t>
  </si>
  <si>
    <t>A*(N13+N14)+0,2*N12</t>
  </si>
  <si>
    <t>0,2*N32</t>
  </si>
  <si>
    <t>A*N43+0,2*N42</t>
  </si>
  <si>
    <t>A*N14+0,2*N13</t>
  </si>
  <si>
    <t>A*(N24+N21)+0,2*N23</t>
  </si>
  <si>
    <t>0,2*N43</t>
  </si>
  <si>
    <t>0,2*N14</t>
  </si>
  <si>
    <t>A*N21+0,2*N24</t>
  </si>
  <si>
    <t>A*(N31+N32)+0,2*N34</t>
  </si>
  <si>
    <t>!!! TEMPO MEDIO DI ATTESA [FORMULA DA VERIFICARE]</t>
  </si>
  <si>
    <t>LIVELLO DI SERVIZIO</t>
  </si>
  <si>
    <t>PROVENIENZA</t>
  </si>
  <si>
    <t>&gt;</t>
  </si>
  <si>
    <t>Lmax</t>
  </si>
  <si>
    <t>[eph]</t>
  </si>
  <si>
    <t>ent</t>
  </si>
  <si>
    <t>usc</t>
  </si>
  <si>
    <t>[]</t>
  </si>
  <si>
    <t>[s]</t>
  </si>
  <si>
    <t>tm</t>
  </si>
  <si>
    <t>TRAFFICO USCENTE EQUIVALENTE</t>
  </si>
  <si>
    <t>Qe/(1+0,1*(ENT-3,5))</t>
  </si>
  <si>
    <t>Qe*d=(1330-0,7*Qc*d)*(1+0,1*(ENT-3,5))</t>
  </si>
  <si>
    <t>K=(1330-0,7*Qd)*(1+0,1*(ENT-3,5))</t>
  </si>
  <si>
    <t>Qu'=Qu*(15-SEP)/15</t>
  </si>
  <si>
    <t>Qd=(Qc+2/3*Qu')*(1-0,085*(ANN-8))</t>
  </si>
  <si>
    <t>K'=(1330-0,7*Qc*dmin)*(1+0,1*(ENT-3,5))</t>
  </si>
  <si>
    <t>Ris=K'-dmin*Qe</t>
  </si>
  <si>
    <t>QeK=K'-Ris</t>
  </si>
  <si>
    <t>risolvere la K…</t>
  </si>
  <si>
    <t>x=Qe/K</t>
  </si>
  <si>
    <t>tm=3600/K+900*0,25*(QeK/K-1+RADQ((QeK/K-1)^2+(3600/K)*(QeK/K)/450/0,25))</t>
  </si>
  <si>
    <t>vedi tabella</t>
  </si>
  <si>
    <t>LUNGHEZZA MEDIA DI CODA</t>
  </si>
  <si>
    <t>LUNGHEZZA MASSIMA DELLA CODA</t>
  </si>
  <si>
    <t>Lm=K*x/3600*tm*6</t>
  </si>
  <si>
    <t>Lmax=K'/Qe*Lm</t>
  </si>
  <si>
    <t xml:space="preserve"> **tm</t>
  </si>
  <si>
    <t>**Lm</t>
  </si>
  <si>
    <t>**LOS</t>
  </si>
  <si>
    <t>**Lmax</t>
  </si>
  <si>
    <t>**tm</t>
  </si>
  <si>
    <t>CETUR</t>
  </si>
  <si>
    <t>VALORI IN ROSSO DA VARIFICARE</t>
  </si>
  <si>
    <t>Rplan</t>
  </si>
  <si>
    <t>p long =</t>
  </si>
  <si>
    <t>Altezza rilevato</t>
  </si>
  <si>
    <t>LUNGHEZZA RAMPA SOVRAPPASSO</t>
  </si>
  <si>
    <t>TABELLE</t>
  </si>
  <si>
    <t>AGGIUNTA NUOVA TABELLA</t>
  </si>
  <si>
    <t>CORRETTA FORMATTAZIONE CONDIZIONALE RAGGI DA UTILIZZARE</t>
  </si>
  <si>
    <t>CREATO NUOVO FOGLIO VERIFICA CAPACITA' ROTATORIE</t>
  </si>
  <si>
    <t>RR7 24/04/2006**</t>
  </si>
  <si>
    <t>fns[auto eq/h]</t>
  </si>
  <si>
    <t>Livello servizio</t>
  </si>
  <si>
    <t>SCAMBIO</t>
  </si>
  <si>
    <t>ZONE DI SCAMBIO</t>
  </si>
  <si>
    <t>ns</t>
  </si>
  <si>
    <t>w [%]</t>
  </si>
  <si>
    <t>AGGIUNTA INDICAZIONE DEL LIVELLO DI SERVIZIO</t>
  </si>
  <si>
    <t>Lunghezza</t>
  </si>
  <si>
    <t>30 - 25</t>
  </si>
  <si>
    <t>40 - 45</t>
  </si>
  <si>
    <t>50 - 75</t>
  </si>
  <si>
    <t>60 - 120</t>
  </si>
  <si>
    <t>70 - 180</t>
  </si>
  <si>
    <t>80 - 250</t>
  </si>
  <si>
    <t>Vp - Rplan</t>
  </si>
  <si>
    <t>Lrconc</t>
  </si>
  <si>
    <t>Lliv</t>
  </si>
  <si>
    <t>Lrconv</t>
  </si>
  <si>
    <t>Hrconc</t>
  </si>
  <si>
    <t>Hliv</t>
  </si>
  <si>
    <t>Hrconv</t>
  </si>
  <si>
    <t>xa [Rmin]</t>
  </si>
  <si>
    <t>ya [pmax]</t>
  </si>
  <si>
    <t>yb [pmin]</t>
  </si>
  <si>
    <t>ya [Vmin]</t>
  </si>
  <si>
    <t>xb [Rmax]</t>
  </si>
  <si>
    <t>yb [Vmax]</t>
  </si>
  <si>
    <t>V=Vmax</t>
  </si>
  <si>
    <t>p=pmax</t>
  </si>
  <si>
    <t>xa [V]</t>
  </si>
  <si>
    <t>xb [V]</t>
  </si>
  <si>
    <t>ya [R]</t>
  </si>
  <si>
    <t>yb [R]</t>
  </si>
  <si>
    <t>xa [pmax]</t>
  </si>
  <si>
    <t>xb [pmin]</t>
  </si>
  <si>
    <t>ya [R*]</t>
  </si>
  <si>
    <t>yb [R2,5]</t>
  </si>
  <si>
    <t>xa [R*]</t>
  </si>
  <si>
    <t>xb [R2,5]</t>
  </si>
  <si>
    <t>A1ES</t>
  </si>
  <si>
    <t>A1EP</t>
  </si>
  <si>
    <t>A,B,C,Fe,Sse</t>
  </si>
  <si>
    <t>D,E,Fu,Ssu</t>
  </si>
  <si>
    <t>A1UP</t>
  </si>
  <si>
    <t>A1US</t>
  </si>
  <si>
    <t>A2EP</t>
  </si>
  <si>
    <t>A2ES</t>
  </si>
  <si>
    <t>A2UP</t>
  </si>
  <si>
    <t>A2US</t>
  </si>
  <si>
    <t>EUP</t>
  </si>
  <si>
    <t>F1E</t>
  </si>
  <si>
    <t>F2E</t>
  </si>
  <si>
    <t>p=pmax - V&lt;Vmax</t>
  </si>
  <si>
    <t>V=Vmax - R&gt;R*</t>
  </si>
  <si>
    <t>RIVISTE TABELLE RAGGI VELOCITA PENDENZA ED IMPAGINAZIONE GENERALE</t>
  </si>
  <si>
    <t>5.2 ANDAMENTO PLANIMETRICO DELL'ASSE</t>
  </si>
  <si>
    <t>5.2.2 ELEMENTI DEL TRACCIATO PLANIMETRICO</t>
  </si>
  <si>
    <t>5.2.4 PENDENZE TRASVERSALI DELLA PIATTAFORMA IN FUNZIONE DEL RAGGIO DELLE CURVE CIRCOLARI E DELLA VELOCITA'</t>
  </si>
  <si>
    <t>5.2.7 ALLARGAMENTO DELLA CARREGGIATA IN CURVA</t>
  </si>
  <si>
    <t>RELAZIONE R1 R2</t>
  </si>
  <si>
    <t>R1</t>
  </si>
  <si>
    <t>R2</t>
  </si>
  <si>
    <t>40-120</t>
  </si>
  <si>
    <t>80-160</t>
  </si>
  <si>
    <t>160-300</t>
  </si>
  <si>
    <t>200-500</t>
  </si>
  <si>
    <t>250-700</t>
  </si>
  <si>
    <t>300-1500</t>
  </si>
  <si>
    <t>350-&gt;</t>
  </si>
  <si>
    <t>400-&gt;</t>
  </si>
  <si>
    <t>450-&gt;</t>
  </si>
  <si>
    <t>460-&gt;</t>
  </si>
  <si>
    <t>480-&gt;</t>
  </si>
  <si>
    <t>500-&gt;</t>
  </si>
  <si>
    <t>R CURVA - L RETTIFILO</t>
  </si>
  <si>
    <t>COEFFICIENTE ADERENZA TRASVERSALE</t>
  </si>
  <si>
    <t>PENDENZA GEODETICA</t>
  </si>
  <si>
    <t>q</t>
  </si>
  <si>
    <t>J</t>
  </si>
  <si>
    <t>Lr = 22 x V p max</t>
  </si>
  <si>
    <t>ft [ ]</t>
  </si>
  <si>
    <t>***ricercare il valore di ft nella tabella sottostante</t>
  </si>
  <si>
    <t>RAGGIO - VELOCITA' [INDICATIVO]</t>
  </si>
  <si>
    <t>Clotoide n=1</t>
  </si>
  <si>
    <t>L = (A1 + A2) / 12,5</t>
  </si>
  <si>
    <t>Smin = 2,5 x V / 3,6</t>
  </si>
  <si>
    <t>5.1 DISTANZE DI VISIBILITA'</t>
  </si>
  <si>
    <t>CNR.2017.10.03
DOTT. ING. EMANUELE BALLASINA</t>
  </si>
  <si>
    <t>EX PRINCIPALI</t>
  </si>
  <si>
    <t>EX SECONDARIE</t>
  </si>
  <si>
    <t>URB SCORR</t>
  </si>
  <si>
    <t>URB QUARTIERE</t>
  </si>
  <si>
    <t>NO PRG</t>
  </si>
  <si>
    <t>SI PRG</t>
  </si>
  <si>
    <t>5.3 ANDAMENTO ALTIMETRICO DELL'ASSE</t>
  </si>
  <si>
    <t>Rv [m]</t>
  </si>
  <si>
    <t>5.4 DIAGRAMMA DELLE VELOCITA'</t>
  </si>
  <si>
    <t>5.4.2 DISTANZA DI RICONOSCIMENTO</t>
  </si>
  <si>
    <t>Dt &lt; Dr</t>
  </si>
  <si>
    <t>Dt &lt; Dv</t>
  </si>
  <si>
    <t>5.5.3 DISTANZA DI RICOMPARSA</t>
  </si>
  <si>
    <t>5.4.1 DISTANZA DI TRANSIZIONE</t>
  </si>
  <si>
    <t>t1</t>
  </si>
  <si>
    <t>a1</t>
  </si>
  <si>
    <t>a - al centro</t>
  </si>
  <si>
    <t>a rad</t>
  </si>
  <si>
    <t>b rad</t>
  </si>
  <si>
    <t>sen b</t>
  </si>
  <si>
    <t>cos b</t>
  </si>
  <si>
    <t>H = tg a/2</t>
  </si>
  <si>
    <t>E = Da sen b</t>
  </si>
  <si>
    <t>F = Da cos b</t>
  </si>
  <si>
    <t>G = R1 + D1</t>
  </si>
  <si>
    <t>tg a/2</t>
  </si>
  <si>
    <t>Se Lr &lt; 300</t>
  </si>
  <si>
    <t>Se Lr &gt; 300</t>
  </si>
  <si>
    <t>R &gt;= 400</t>
  </si>
  <si>
    <t xml:space="preserve">R &gt; Lr </t>
  </si>
  <si>
    <r>
      <t>DA</t>
    </r>
    <r>
      <rPr>
        <b/>
        <sz val="10"/>
        <rFont val="Lucida Console"/>
        <family val="3"/>
      </rPr>
      <t>&lt;</t>
    </r>
    <r>
      <rPr>
        <sz val="10"/>
        <rFont val="Lucida Console"/>
        <family val="3"/>
      </rPr>
      <t>L</t>
    </r>
  </si>
  <si>
    <r>
      <t>DA</t>
    </r>
    <r>
      <rPr>
        <b/>
        <sz val="10"/>
        <rFont val="Lucida Console"/>
        <family val="3"/>
      </rPr>
      <t>&gt;</t>
    </r>
    <r>
      <rPr>
        <sz val="10"/>
        <rFont val="Lucida Console"/>
        <family val="3"/>
      </rPr>
      <t>L</t>
    </r>
  </si>
  <si>
    <t>Dr=t x vp=12xV/3,6</t>
  </si>
  <si>
    <t>Dt=(DV x Vm)/12,96a</t>
  </si>
  <si>
    <t>V[km/h]</t>
  </si>
  <si>
    <t>RETTIFILO MIN FLESSO</t>
  </si>
  <si>
    <t>Da - Di%</t>
  </si>
  <si>
    <t>in entrata su A 30 km/h</t>
  </si>
  <si>
    <t>in uscita da A 40 km/h</t>
  </si>
  <si>
    <t>TRATTO</t>
  </si>
  <si>
    <t>SPAZIO</t>
  </si>
  <si>
    <t>FASCE DI RISPETTO STRADALI</t>
  </si>
  <si>
    <t>TIPI DI LINEE DI SEGNALETICA LONGITUDINALE</t>
  </si>
  <si>
    <t>FUORI</t>
  </si>
  <si>
    <t>CENTRO ABITATO</t>
  </si>
  <si>
    <t>S1</t>
  </si>
  <si>
    <t>S2</t>
  </si>
  <si>
    <t>RAMPE MONODIREZIONALI</t>
  </si>
  <si>
    <t>RAMPE DI SVINCOLO MONODIR</t>
  </si>
  <si>
    <t>AGGIUNTA TABELLA RAMPE MONODIREZIONALI</t>
  </si>
  <si>
    <t>RAMPE MONODIREZIONALI (ASSE DI TRACCIAMENTO SULLA SEGNALETICA SX) - OSTACOLI ALLA VISIBILITA'</t>
  </si>
  <si>
    <t>AGGIUNTE TABELLE LINEE LONGITUDINALI E FASCIE DI RISPETTO</t>
  </si>
  <si>
    <t>TAB2</t>
  </si>
  <si>
    <t>VIS</t>
  </si>
  <si>
    <t>PLAN</t>
  </si>
  <si>
    <t>PROF</t>
  </si>
  <si>
    <t>ACCDEC</t>
  </si>
  <si>
    <t>QROT</t>
  </si>
  <si>
    <t>QROT4</t>
  </si>
  <si>
    <t>VISIBILITA' GARANTITA IN FUNZ DEL RAGGIO V</t>
  </si>
  <si>
    <t>ANGOLO DI USCITA IN FUNZ DI R</t>
  </si>
  <si>
    <t>RAGGIO PLAN DI USCITA SEGNALETICA SINISTRA RAMPA</t>
  </si>
  <si>
    <t>Dimax = 18 x B / V</t>
  </si>
  <si>
    <t>Dimin = 0,1 x B</t>
  </si>
  <si>
    <t xml:space="preserve">Raggio Asse            </t>
  </si>
  <si>
    <t>ALLARGAMENTO IN CURVA (R&lt;225)</t>
  </si>
  <si>
    <t>Dimax [%]</t>
  </si>
  <si>
    <t>Dh [m]</t>
  </si>
  <si>
    <t>Lmin [m]</t>
  </si>
  <si>
    <t>Lmax [m]</t>
  </si>
  <si>
    <t>Dimin [%]</t>
  </si>
  <si>
    <t>Urb (min20)</t>
  </si>
  <si>
    <t>Amin</t>
  </si>
  <si>
    <t>Amax</t>
  </si>
  <si>
    <t>5.2.5 CURVE A RAGGIO VARIABILE - PENDENZE TRASVERSALI</t>
  </si>
  <si>
    <t>Arco cerchio 2,5"</t>
  </si>
  <si>
    <t>Lr [m]</t>
  </si>
  <si>
    <t>BEP</t>
  </si>
  <si>
    <t>BES</t>
  </si>
  <si>
    <t>DUP</t>
  </si>
  <si>
    <t>DUS</t>
  </si>
  <si>
    <t>C1E</t>
  </si>
  <si>
    <t>C2E</t>
  </si>
  <si>
    <t>STRADA</t>
  </si>
  <si>
    <t>Contraccolpo</t>
  </si>
  <si>
    <t>Sovrapendenza</t>
  </si>
  <si>
    <t>Ottico</t>
  </si>
  <si>
    <t>Angolo min</t>
  </si>
  <si>
    <t>a [m/s^2]</t>
  </si>
  <si>
    <t>s [m]</t>
  </si>
  <si>
    <t>t [s]</t>
  </si>
  <si>
    <t>vf = vi + a t</t>
  </si>
  <si>
    <t>vf [m/s]</t>
  </si>
  <si>
    <t>Vf [km/h]</t>
  </si>
  <si>
    <t>vf = a t</t>
  </si>
  <si>
    <t>MOTOACC</t>
  </si>
  <si>
    <t>t = (vf - vi) / a</t>
  </si>
  <si>
    <t>t = vf / a</t>
  </si>
  <si>
    <t>AGGIUNTE TABELLE FORMULE INVERSE vi vf a t s</t>
  </si>
  <si>
    <r>
      <t>Vi</t>
    </r>
    <r>
      <rPr>
        <b/>
        <sz val="6"/>
        <rFont val="Lucida Console"/>
        <family val="3"/>
      </rPr>
      <t xml:space="preserve"> </t>
    </r>
    <r>
      <rPr>
        <b/>
        <sz val="10"/>
        <rFont val="Lucida Console"/>
        <family val="3"/>
      </rPr>
      <t>[km/h]</t>
    </r>
  </si>
  <si>
    <r>
      <t>vi</t>
    </r>
    <r>
      <rPr>
        <b/>
        <sz val="6"/>
        <rFont val="Lucida Console"/>
        <family val="3"/>
      </rPr>
      <t xml:space="preserve"> </t>
    </r>
    <r>
      <rPr>
        <b/>
        <sz val="10"/>
        <rFont val="Lucida Console"/>
        <family val="3"/>
      </rPr>
      <t>[m/s]</t>
    </r>
  </si>
  <si>
    <t>TEOREMA DEI SENI</t>
  </si>
  <si>
    <t>TEOREMA DEL COSENO (CARNOT)</t>
  </si>
  <si>
    <t>±</t>
  </si>
  <si>
    <t>α</t>
  </si>
  <si>
    <t>β</t>
  </si>
  <si>
    <t>γ</t>
  </si>
  <si>
    <t>a/sin(α) = b/sin(β) = c/sin(γ)</t>
  </si>
  <si>
    <t>δ</t>
  </si>
  <si>
    <t>•</t>
  </si>
  <si>
    <t>∛</t>
  </si>
  <si>
    <t>⅙</t>
  </si>
  <si>
    <t>∞</t>
  </si>
  <si>
    <t>Ξ</t>
  </si>
  <si>
    <t>η</t>
  </si>
  <si>
    <t>σ</t>
  </si>
  <si>
    <t>←</t>
  </si>
  <si>
    <t>↯</t>
  </si>
  <si>
    <t>‹</t>
  </si>
  <si>
    <t>∜</t>
  </si>
  <si>
    <t>⅚</t>
  </si>
  <si>
    <t>∠</t>
  </si>
  <si>
    <t>Π</t>
  </si>
  <si>
    <t>θ</t>
  </si>
  <si>
    <t>τ</t>
  </si>
  <si>
    <t>↑</t>
  </si>
  <si>
    <t>↶</t>
  </si>
  <si>
    <t>›</t>
  </si>
  <si>
    <t>⅟</t>
  </si>
  <si>
    <t>⅛</t>
  </si>
  <si>
    <t>∡</t>
  </si>
  <si>
    <t>Σ</t>
  </si>
  <si>
    <t>ι</t>
  </si>
  <si>
    <t>υ</t>
  </si>
  <si>
    <t>→</t>
  </si>
  <si>
    <t>↷</t>
  </si>
  <si>
    <t>«</t>
  </si>
  <si>
    <t>½</t>
  </si>
  <si>
    <t>⅜</t>
  </si>
  <si>
    <t>∢</t>
  </si>
  <si>
    <t>Φ</t>
  </si>
  <si>
    <t>κ</t>
  </si>
  <si>
    <t>φ</t>
  </si>
  <si>
    <t>↓</t>
  </si>
  <si>
    <t>↺</t>
  </si>
  <si>
    <t>{</t>
  </si>
  <si>
    <t>»</t>
  </si>
  <si>
    <t>⅓</t>
  </si>
  <si>
    <t>⅝</t>
  </si>
  <si>
    <t>≠</t>
  </si>
  <si>
    <t>Ψ</t>
  </si>
  <si>
    <t>λ</t>
  </si>
  <si>
    <t>χ</t>
  </si>
  <si>
    <t>↔</t>
  </si>
  <si>
    <t>↻</t>
  </si>
  <si>
    <t>}</t>
  </si>
  <si>
    <t>ª</t>
  </si>
  <si>
    <t>⅔</t>
  </si>
  <si>
    <t>⅞</t>
  </si>
  <si>
    <t>≡</t>
  </si>
  <si>
    <t>Ω</t>
  </si>
  <si>
    <t>μ</t>
  </si>
  <si>
    <t>ψ</t>
  </si>
  <si>
    <t>↕</t>
  </si>
  <si>
    <t>⇜</t>
  </si>
  <si>
    <t>°</t>
  </si>
  <si>
    <t>¼</t>
  </si>
  <si>
    <t>‰</t>
  </si>
  <si>
    <t>≤</t>
  </si>
  <si>
    <t>ν</t>
  </si>
  <si>
    <t>ω</t>
  </si>
  <si>
    <t>↖</t>
  </si>
  <si>
    <t>⇝</t>
  </si>
  <si>
    <t>º</t>
  </si>
  <si>
    <t>¾</t>
  </si>
  <si>
    <t>≥</t>
  </si>
  <si>
    <t>ξ</t>
  </si>
  <si>
    <t>ϑ</t>
  </si>
  <si>
    <t>↗</t>
  </si>
  <si>
    <t>⇦</t>
  </si>
  <si>
    <t>¹</t>
  </si>
  <si>
    <t>⅕</t>
  </si>
  <si>
    <t>×</t>
  </si>
  <si>
    <t>∑</t>
  </si>
  <si>
    <t>ο</t>
  </si>
  <si>
    <t>Ϟ</t>
  </si>
  <si>
    <t>↘</t>
  </si>
  <si>
    <t>⇧</t>
  </si>
  <si>
    <t>~</t>
  </si>
  <si>
    <t>²</t>
  </si>
  <si>
    <t>⅖</t>
  </si>
  <si>
    <t>Ø</t>
  </si>
  <si>
    <t>µ</t>
  </si>
  <si>
    <t>π</t>
  </si>
  <si>
    <t>ϴ</t>
  </si>
  <si>
    <t>↙</t>
  </si>
  <si>
    <t>⇨</t>
  </si>
  <si>
    <t>³</t>
  </si>
  <si>
    <t>⅗</t>
  </si>
  <si>
    <t>÷</t>
  </si>
  <si>
    <t>Δ</t>
  </si>
  <si>
    <t>ε</t>
  </si>
  <si>
    <t>ρ</t>
  </si>
  <si>
    <t>ϵ</t>
  </si>
  <si>
    <t>↜</t>
  </si>
  <si>
    <t>⇩</t>
  </si>
  <si>
    <t>√</t>
  </si>
  <si>
    <t>⅘</t>
  </si>
  <si>
    <t>ø</t>
  </si>
  <si>
    <t>Θ</t>
  </si>
  <si>
    <t>ζ</t>
  </si>
  <si>
    <t>ς</t>
  </si>
  <si>
    <t>϶</t>
  </si>
  <si>
    <t>↝</t>
  </si>
  <si>
    <t>FORMULA DI ERONE</t>
  </si>
  <si>
    <t>A = √p(p-a)(p-b)(p-c)</t>
  </si>
  <si>
    <t>p = (a + b + c) / 2</t>
  </si>
  <si>
    <t>r = 2A / 2p</t>
  </si>
  <si>
    <t>a = b sin(α)/sin(β)</t>
  </si>
  <si>
    <t>sin(α) = sin(β) a/b</t>
  </si>
  <si>
    <t>MATH</t>
  </si>
  <si>
    <t>AGGIUNTE TABELLE DI FORMULE MATEMATICHE RICORRENTI</t>
  </si>
  <si>
    <t>TRIGONOMETRIA</t>
  </si>
  <si>
    <t>CERCHIO</t>
  </si>
  <si>
    <t>cos(α) = (b² + c² - a²) / 2bc</t>
  </si>
  <si>
    <t>a² = b² + c² - 2 b c cos(α)</t>
  </si>
  <si>
    <t>r</t>
  </si>
  <si>
    <t>SIMBOLI</t>
  </si>
  <si>
    <t>m²</t>
  </si>
  <si>
    <t>m/s²</t>
  </si>
  <si>
    <t>kg/m³</t>
  </si>
  <si>
    <t>R x L = A²</t>
  </si>
  <si>
    <t>J = √(p² + q²)</t>
  </si>
  <si>
    <r>
      <t>R x L</t>
    </r>
    <r>
      <rPr>
        <b/>
        <vertAlign val="superscript"/>
        <sz val="10"/>
        <rFont val="Lucida Console"/>
        <family val="3"/>
      </rPr>
      <t>n</t>
    </r>
    <r>
      <rPr>
        <b/>
        <sz val="10"/>
        <rFont val="Lucida Console"/>
        <family val="3"/>
      </rPr>
      <t xml:space="preserve"> = A</t>
    </r>
    <r>
      <rPr>
        <b/>
        <vertAlign val="superscript"/>
        <sz val="10"/>
        <rFont val="Lucida Console"/>
        <family val="3"/>
      </rPr>
      <t>(n+1)</t>
    </r>
  </si>
  <si>
    <t>V²/ 127R = q + ft</t>
  </si>
  <si>
    <t>a = 2s / t²</t>
  </si>
  <si>
    <t>a = (vf² - vi²) / 2s</t>
  </si>
  <si>
    <t>a = 2(vf t - s) / t²</t>
  </si>
  <si>
    <t>a = 2(s - vi t) / t²</t>
  </si>
  <si>
    <t>vi = (s - ½at²)/t</t>
  </si>
  <si>
    <t>vf = (s + ½at²)/t</t>
  </si>
  <si>
    <t>s = ½ a t²</t>
  </si>
  <si>
    <t>s = vi t + ½ a t²</t>
  </si>
  <si>
    <t>s = vf t - ½ a t²</t>
  </si>
  <si>
    <t>s = ½ (vf² - vi²) / a</t>
  </si>
  <si>
    <t>t = (-vi + √(vi² + 2as)) / a</t>
  </si>
  <si>
    <t>t = (vf + √(vf² - 2as)) / a</t>
  </si>
  <si>
    <t>α rad</t>
  </si>
  <si>
    <t>A=L²/2α</t>
  </si>
  <si>
    <t>L=√2αA</t>
  </si>
  <si>
    <t>π =</t>
  </si>
  <si>
    <t>L=2A/R</t>
  </si>
  <si>
    <t>A=αR²/2</t>
  </si>
  <si>
    <t>R=√2A/α</t>
  </si>
  <si>
    <t>R=L/α</t>
  </si>
  <si>
    <t>α=2A/R²</t>
  </si>
  <si>
    <t>α=L/R</t>
  </si>
  <si>
    <t>L=αR</t>
  </si>
  <si>
    <t>α=L²/2A</t>
  </si>
  <si>
    <t>R=2A/L</t>
  </si>
  <si>
    <t>A=RL/2</t>
  </si>
  <si>
    <t>C=2Rsin(α/2)</t>
  </si>
  <si>
    <t>S=R(1-cos(α/2))</t>
  </si>
  <si>
    <t>C=2Rsin(A/R²)</t>
  </si>
  <si>
    <t>C=2Rsin(L/2R)</t>
  </si>
  <si>
    <t>S=R(1-cos(A/R²))</t>
  </si>
  <si>
    <t>S=R(1-cos(L/2R))</t>
  </si>
  <si>
    <t>GEOMETRIA DEI SOLIDI</t>
  </si>
  <si>
    <t>GEOMETRIA DEL PIANO</t>
  </si>
  <si>
    <t>CALCOLO DEI VOLUMI STRADALI</t>
  </si>
  <si>
    <t>DIST</t>
  </si>
  <si>
    <t>RAGG</t>
  </si>
  <si>
    <t>PRISM</t>
  </si>
  <si>
    <t>Vragg=D/2(A1+A2)</t>
  </si>
  <si>
    <t>Vprism=D/3(A1+√A1A2+A2)</t>
  </si>
  <si>
    <t>AGGIUNTA TABELLA GEOMETRIA DEI SOLIDI, VOLUMI STRADALI</t>
  </si>
  <si>
    <t>W</t>
  </si>
  <si>
    <t>AGGIUNTO VOLUME SOLIDO TRAPEZIO</t>
  </si>
  <si>
    <t>Vtrapezio=(pH²+WH)L</t>
  </si>
  <si>
    <t>GEOMETRIA DELLE LINEE 3D</t>
  </si>
  <si>
    <t>n=H/∆H</t>
  </si>
  <si>
    <t>φ=2πn</t>
  </si>
  <si>
    <t>∆R=R/n</t>
  </si>
  <si>
    <t>∆H</t>
  </si>
  <si>
    <r>
      <t>L</t>
    </r>
    <r>
      <rPr>
        <vertAlign val="subscript"/>
        <sz val="10"/>
        <rFont val="Lucida Console"/>
        <family val="3"/>
      </rPr>
      <t>3d</t>
    </r>
  </si>
  <si>
    <r>
      <t>L</t>
    </r>
    <r>
      <rPr>
        <vertAlign val="subscript"/>
        <sz val="10"/>
        <rFont val="Lucida Console"/>
        <family val="3"/>
      </rPr>
      <t>2d</t>
    </r>
  </si>
  <si>
    <r>
      <t>L</t>
    </r>
    <r>
      <rPr>
        <vertAlign val="subscript"/>
        <sz val="10"/>
        <rFont val="Calibri"/>
        <family val="2"/>
      </rPr>
      <t>2d</t>
    </r>
    <r>
      <rPr>
        <sz val="10"/>
        <rFont val="Calibri"/>
        <family val="2"/>
      </rPr>
      <t>=nπR</t>
    </r>
  </si>
  <si>
    <r>
      <t>L</t>
    </r>
    <r>
      <rPr>
        <vertAlign val="subscript"/>
        <sz val="10"/>
        <rFont val="Lucida Console"/>
        <family val="3"/>
      </rPr>
      <t>3d</t>
    </r>
    <r>
      <rPr>
        <sz val="10"/>
        <rFont val="Lucida Console"/>
        <family val="3"/>
      </rPr>
      <t>=√(L</t>
    </r>
    <r>
      <rPr>
        <vertAlign val="subscript"/>
        <sz val="10"/>
        <rFont val="Lucida Console"/>
        <family val="3"/>
      </rPr>
      <t>2d</t>
    </r>
    <r>
      <rPr>
        <sz val="10"/>
        <rFont val="Lucida Console"/>
        <family val="3"/>
      </rPr>
      <t>²+H²)</t>
    </r>
  </si>
  <si>
    <t>∆R</t>
  </si>
  <si>
    <t>CATENA LUCI DI NATALE SPIRALE 3D SEMPLIFICATA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</si>
</sst>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-&quot;€&quot;\ * #,##0_-;\-&quot;€&quot;\ * #,##0_-;_-&quot;€&quot;\ * &quot;-&quot;_-;_-@_-"/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%"/>
    <numFmt numFmtId="166" formatCode="0.0000"/>
    <numFmt numFmtId="167" formatCode="0.000"/>
    <numFmt numFmtId="168" formatCode="#,##0.0"/>
    <numFmt numFmtId="169" formatCode="0.00000"/>
    <numFmt numFmtId="170" formatCode="#,##0_ ;\-#,##0\ "/>
    <numFmt numFmtId="171" formatCode="0.000000"/>
    <numFmt numFmtId="172" formatCode="#,##0.000"/>
    <numFmt numFmtId="173" formatCode="#,##0.0000"/>
    <numFmt numFmtId="174" formatCode="0.00\°"/>
    <numFmt numFmtId="175" formatCode="0.0\°"/>
    <numFmt numFmtId="176" formatCode="0\°"/>
    <numFmt numFmtId="177" formatCode="0.##\ &quot;rad&quot;"/>
    <numFmt numFmtId="178" formatCode="_-[$€-2]\ * #,##0.00_-;\-[$€-2]\ * #,##0.00_-;_-[$€-2]\ * &quot;-&quot;??_-"/>
    <numFmt numFmtId="179" formatCode="#,##0.00_ ;\-#,##0.00\ "/>
    <numFmt numFmtId="180" formatCode="_-* #,##0_-;\-* #,##0_-;_-* &quot;-&quot;??_-;_-@_-"/>
    <numFmt numFmtId="181" formatCode="#,##0.0_ ;\-#,##0.0\ "/>
    <numFmt numFmtId="182" formatCode="0.00\r"/>
    <numFmt numFmtId="183" formatCode="0.00000000000000"/>
  </numFmts>
  <fonts count="3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28"/>
      <color indexed="12"/>
      <name val="Rubber Stamp LET"/>
    </font>
    <font>
      <sz val="20"/>
      <color indexed="12"/>
      <name val="VAG Round"/>
      <family val="5"/>
    </font>
    <font>
      <u/>
      <sz val="10"/>
      <color indexed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b/>
      <sz val="20"/>
      <color indexed="12"/>
      <name val="VAG Round"/>
      <family val="5"/>
    </font>
    <font>
      <b/>
      <u/>
      <sz val="2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Lucida Console"/>
      <family val="3"/>
    </font>
    <font>
      <b/>
      <sz val="10"/>
      <name val="Lucida Console"/>
      <family val="3"/>
    </font>
    <font>
      <b/>
      <sz val="8"/>
      <name val="Lucida Console"/>
      <family val="3"/>
    </font>
    <font>
      <sz val="8"/>
      <name val="Lucida Console"/>
      <family val="3"/>
    </font>
    <font>
      <sz val="8"/>
      <color rgb="FFFF0000"/>
      <name val="Lucida Console"/>
      <family val="3"/>
    </font>
    <font>
      <b/>
      <sz val="10"/>
      <color rgb="FFFF0000"/>
      <name val="Lucida Console"/>
      <family val="3"/>
    </font>
    <font>
      <b/>
      <sz val="8"/>
      <color rgb="FFFF0000"/>
      <name val="Lucida Console"/>
      <family val="3"/>
    </font>
    <font>
      <sz val="10"/>
      <color rgb="FFFF0000"/>
      <name val="Lucida Console"/>
      <family val="3"/>
    </font>
    <font>
      <sz val="4"/>
      <name val="Lucida Console"/>
      <family val="3"/>
    </font>
    <font>
      <sz val="7"/>
      <name val="Lucida Console"/>
      <family val="3"/>
    </font>
    <font>
      <sz val="9"/>
      <name val="Lucida Console"/>
      <family val="3"/>
    </font>
    <font>
      <b/>
      <i/>
      <sz val="10"/>
      <name val="Lucida Console"/>
      <family val="3"/>
    </font>
    <font>
      <b/>
      <sz val="9"/>
      <name val="Lucida Console"/>
      <family val="3"/>
    </font>
    <font>
      <b/>
      <sz val="7"/>
      <name val="Lucida Console"/>
      <family val="3"/>
    </font>
    <font>
      <b/>
      <sz val="7"/>
      <color rgb="FFFF0000"/>
      <name val="Lucida Console"/>
      <family val="3"/>
    </font>
    <font>
      <b/>
      <sz val="6"/>
      <name val="Lucida Console"/>
      <family val="3"/>
    </font>
    <font>
      <sz val="10"/>
      <color theme="1"/>
      <name val="Lucida Console"/>
      <family val="3"/>
    </font>
    <font>
      <b/>
      <vertAlign val="superscript"/>
      <sz val="10"/>
      <name val="Lucida Console"/>
      <family val="3"/>
    </font>
    <font>
      <sz val="10"/>
      <name val="Calibri"/>
      <family val="2"/>
    </font>
    <font>
      <vertAlign val="subscript"/>
      <sz val="10"/>
      <name val="Lucida Console"/>
      <family val="3"/>
    </font>
    <font>
      <vertAlign val="subscript"/>
      <sz val="1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397">
    <xf numFmtId="0" fontId="0" fillId="0" borderId="0" xfId="0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Fill="1" applyBorder="1"/>
    <xf numFmtId="0" fontId="0" fillId="0" borderId="0" xfId="0" applyAlignment="1">
      <alignment horizontal="right"/>
    </xf>
    <xf numFmtId="0" fontId="0" fillId="2" borderId="3" xfId="0" applyFill="1" applyBorder="1"/>
    <xf numFmtId="0" fontId="2" fillId="2" borderId="3" xfId="0" applyFont="1" applyFill="1" applyBorder="1" applyAlignment="1">
      <alignment horizontal="center"/>
    </xf>
    <xf numFmtId="0" fontId="3" fillId="10" borderId="0" xfId="0" applyFont="1" applyFill="1"/>
    <xf numFmtId="0" fontId="3" fillId="10" borderId="0" xfId="0" applyFont="1" applyFill="1" applyProtection="1">
      <protection hidden="1"/>
    </xf>
    <xf numFmtId="0" fontId="2" fillId="12" borderId="25" xfId="0" applyFont="1" applyFill="1" applyBorder="1"/>
    <xf numFmtId="0" fontId="0" fillId="12" borderId="40" xfId="0" applyFill="1" applyBorder="1"/>
    <xf numFmtId="0" fontId="0" fillId="12" borderId="35" xfId="0" applyFill="1" applyBorder="1"/>
    <xf numFmtId="0" fontId="0" fillId="0" borderId="0" xfId="0" applyAlignment="1">
      <alignment horizontal="left"/>
    </xf>
    <xf numFmtId="0" fontId="6" fillId="2" borderId="3" xfId="0" applyFont="1" applyFill="1" applyBorder="1"/>
    <xf numFmtId="0" fontId="0" fillId="4" borderId="3" xfId="0" applyFill="1" applyBorder="1" applyAlignment="1">
      <alignment horizontal="center"/>
    </xf>
    <xf numFmtId="0" fontId="11" fillId="0" borderId="0" xfId="0" applyFont="1"/>
    <xf numFmtId="0" fontId="6" fillId="2" borderId="9" xfId="0" applyFont="1" applyFill="1" applyBorder="1" applyAlignment="1">
      <alignment horizontal="center"/>
    </xf>
    <xf numFmtId="173" fontId="3" fillId="4" borderId="9" xfId="0" applyNumberFormat="1" applyFont="1" applyFill="1" applyBorder="1" applyAlignment="1">
      <alignment horizontal="center"/>
    </xf>
    <xf numFmtId="173" fontId="6" fillId="6" borderId="3" xfId="0" applyNumberFormat="1" applyFont="1" applyFill="1" applyBorder="1"/>
    <xf numFmtId="0" fontId="6" fillId="2" borderId="3" xfId="0" applyFont="1" applyFill="1" applyBorder="1" applyAlignment="1">
      <alignment horizontal="center"/>
    </xf>
    <xf numFmtId="173" fontId="3" fillId="4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6" fillId="12" borderId="25" xfId="0" applyFont="1" applyFill="1" applyBorder="1" applyAlignment="1">
      <alignment horizontal="left"/>
    </xf>
    <xf numFmtId="173" fontId="0" fillId="0" borderId="0" xfId="0" applyNumberFormat="1"/>
    <xf numFmtId="4" fontId="0" fillId="0" borderId="0" xfId="0" applyNumberFormat="1"/>
    <xf numFmtId="0" fontId="2" fillId="2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0" fontId="2" fillId="5" borderId="22" xfId="4" applyNumberFormat="1" applyFont="1" applyFill="1" applyBorder="1" applyAlignment="1">
      <alignment horizontal="center"/>
    </xf>
    <xf numFmtId="0" fontId="6" fillId="12" borderId="49" xfId="0" applyFont="1" applyFill="1" applyBorder="1" applyAlignment="1">
      <alignment horizontal="left"/>
    </xf>
    <xf numFmtId="0" fontId="0" fillId="12" borderId="50" xfId="0" applyFill="1" applyBorder="1"/>
    <xf numFmtId="0" fontId="0" fillId="12" borderId="51" xfId="0" applyFill="1" applyBorder="1"/>
    <xf numFmtId="173" fontId="2" fillId="4" borderId="9" xfId="0" applyNumberFormat="1" applyFont="1" applyFill="1" applyBorder="1" applyAlignment="1">
      <alignment horizontal="center"/>
    </xf>
    <xf numFmtId="0" fontId="0" fillId="4" borderId="3" xfId="0" applyFill="1" applyBorder="1"/>
    <xf numFmtId="168" fontId="0" fillId="2" borderId="3" xfId="0" applyNumberFormat="1" applyFill="1" applyBorder="1"/>
    <xf numFmtId="0" fontId="2" fillId="5" borderId="3" xfId="0" applyFont="1" applyFill="1" applyBorder="1"/>
    <xf numFmtId="168" fontId="2" fillId="5" borderId="3" xfId="0" applyNumberFormat="1" applyFont="1" applyFill="1" applyBorder="1"/>
    <xf numFmtId="0" fontId="2" fillId="2" borderId="3" xfId="0" applyFont="1" applyFill="1" applyBorder="1"/>
    <xf numFmtId="0" fontId="0" fillId="0" borderId="3" xfId="0" applyFill="1" applyBorder="1"/>
    <xf numFmtId="0" fontId="2" fillId="0" borderId="3" xfId="0" applyFont="1" applyFill="1" applyBorder="1"/>
    <xf numFmtId="168" fontId="2" fillId="0" borderId="3" xfId="0" applyNumberFormat="1" applyFont="1" applyFill="1" applyBorder="1"/>
    <xf numFmtId="0" fontId="2" fillId="2" borderId="22" xfId="0" applyFont="1" applyFill="1" applyBorder="1"/>
    <xf numFmtId="0" fontId="2" fillId="4" borderId="3" xfId="0" applyFont="1" applyFill="1" applyBorder="1"/>
    <xf numFmtId="2" fontId="0" fillId="2" borderId="3" xfId="0" applyNumberFormat="1" applyFill="1" applyBorder="1"/>
    <xf numFmtId="2" fontId="2" fillId="5" borderId="22" xfId="0" applyNumberFormat="1" applyFont="1" applyFill="1" applyBorder="1"/>
    <xf numFmtId="0" fontId="2" fillId="2" borderId="9" xfId="0" applyFont="1" applyFill="1" applyBorder="1"/>
    <xf numFmtId="0" fontId="2" fillId="4" borderId="9" xfId="0" applyFont="1" applyFill="1" applyBorder="1"/>
    <xf numFmtId="0" fontId="2" fillId="0" borderId="0" xfId="0" applyFont="1" applyFill="1" applyBorder="1" applyAlignment="1"/>
    <xf numFmtId="0" fontId="2" fillId="2" borderId="8" xfId="0" applyFont="1" applyFill="1" applyBorder="1"/>
    <xf numFmtId="0" fontId="2" fillId="2" borderId="1" xfId="0" applyFont="1" applyFill="1" applyBorder="1"/>
    <xf numFmtId="0" fontId="2" fillId="2" borderId="20" xfId="0" applyFont="1" applyFill="1" applyBorder="1"/>
    <xf numFmtId="178" fontId="2" fillId="3" borderId="7" xfId="0" applyNumberFormat="1" applyFont="1" applyFill="1" applyBorder="1"/>
    <xf numFmtId="178" fontId="2" fillId="3" borderId="14" xfId="0" applyNumberFormat="1" applyFont="1" applyFill="1" applyBorder="1"/>
    <xf numFmtId="178" fontId="2" fillId="3" borderId="15" xfId="0" applyNumberFormat="1" applyFont="1" applyFill="1" applyBorder="1"/>
    <xf numFmtId="0" fontId="0" fillId="3" borderId="2" xfId="0" applyFill="1" applyBorder="1"/>
    <xf numFmtId="0" fontId="3" fillId="10" borderId="0" xfId="0" applyFont="1" applyFill="1" applyAlignment="1">
      <alignment vertical="center"/>
    </xf>
    <xf numFmtId="0" fontId="13" fillId="12" borderId="43" xfId="0" applyFont="1" applyFill="1" applyBorder="1" applyAlignment="1" applyProtection="1">
      <alignment vertical="center"/>
      <protection hidden="1"/>
    </xf>
    <xf numFmtId="0" fontId="2" fillId="10" borderId="0" xfId="0" applyFont="1" applyFill="1" applyAlignment="1" applyProtection="1">
      <alignment vertical="center"/>
      <protection hidden="1"/>
    </xf>
    <xf numFmtId="0" fontId="14" fillId="12" borderId="43" xfId="1" applyFont="1" applyFill="1" applyBorder="1" applyAlignment="1" applyProtection="1">
      <alignment vertical="center"/>
      <protection hidden="1"/>
    </xf>
    <xf numFmtId="0" fontId="2" fillId="10" borderId="0" xfId="0" applyFont="1" applyFill="1" applyAlignment="1">
      <alignment vertical="center"/>
    </xf>
    <xf numFmtId="0" fontId="8" fillId="12" borderId="56" xfId="0" applyFont="1" applyFill="1" applyBorder="1" applyAlignment="1" applyProtection="1">
      <alignment horizontal="center" vertical="center"/>
      <protection hidden="1"/>
    </xf>
    <xf numFmtId="0" fontId="3" fillId="10" borderId="0" xfId="0" applyFont="1" applyFill="1" applyAlignment="1" applyProtection="1">
      <alignment horizontal="center" vertical="center"/>
      <protection hidden="1"/>
    </xf>
    <xf numFmtId="0" fontId="3" fillId="1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178" fontId="2" fillId="0" borderId="0" xfId="0" applyNumberFormat="1" applyFont="1" applyFill="1" applyBorder="1"/>
    <xf numFmtId="2" fontId="0" fillId="3" borderId="3" xfId="0" applyNumberFormat="1" applyFill="1" applyBorder="1"/>
    <xf numFmtId="1" fontId="0" fillId="3" borderId="3" xfId="0" applyNumberFormat="1" applyFill="1" applyBorder="1"/>
    <xf numFmtId="2" fontId="2" fillId="4" borderId="3" xfId="0" applyNumberFormat="1" applyFont="1" applyFill="1" applyBorder="1"/>
    <xf numFmtId="10" fontId="0" fillId="0" borderId="0" xfId="0" applyNumberFormat="1"/>
    <xf numFmtId="4" fontId="0" fillId="5" borderId="3" xfId="0" applyNumberFormat="1" applyFill="1" applyBorder="1" applyAlignment="1">
      <alignment horizontal="center"/>
    </xf>
    <xf numFmtId="4" fontId="2" fillId="4" borderId="3" xfId="0" applyNumberFormat="1" applyFont="1" applyFill="1" applyBorder="1" applyAlignment="1">
      <alignment horizontal="center"/>
    </xf>
    <xf numFmtId="4" fontId="2" fillId="5" borderId="3" xfId="0" applyNumberFormat="1" applyFont="1" applyFill="1" applyBorder="1" applyAlignment="1">
      <alignment horizontal="center"/>
    </xf>
    <xf numFmtId="0" fontId="1" fillId="0" borderId="0" xfId="0" applyFont="1"/>
    <xf numFmtId="10" fontId="0" fillId="0" borderId="0" xfId="4" applyNumberFormat="1" applyFont="1"/>
    <xf numFmtId="10" fontId="0" fillId="0" borderId="0" xfId="4" applyNumberFormat="1" applyFont="1" applyAlignment="1">
      <alignment horizontal="center"/>
    </xf>
    <xf numFmtId="0" fontId="0" fillId="0" borderId="3" xfId="0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0" fontId="0" fillId="0" borderId="3" xfId="4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18" borderId="1" xfId="0" applyFont="1" applyFill="1" applyBorder="1" applyAlignment="1">
      <alignment vertical="center"/>
    </xf>
    <xf numFmtId="0" fontId="18" fillId="18" borderId="3" xfId="0" applyFont="1" applyFill="1" applyBorder="1" applyAlignment="1">
      <alignment horizontal="center" vertical="center"/>
    </xf>
    <xf numFmtId="3" fontId="18" fillId="18" borderId="3" xfId="0" applyNumberFormat="1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vertical="center"/>
    </xf>
    <xf numFmtId="0" fontId="18" fillId="18" borderId="2" xfId="0" applyFont="1" applyFill="1" applyBorder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18" borderId="7" xfId="0" applyFont="1" applyFill="1" applyBorder="1" applyAlignment="1">
      <alignment horizontal="center" vertical="center"/>
    </xf>
    <xf numFmtId="180" fontId="17" fillId="0" borderId="0" xfId="0" applyNumberFormat="1" applyFont="1" applyAlignment="1">
      <alignment vertical="center"/>
    </xf>
    <xf numFmtId="0" fontId="17" fillId="30" borderId="1" xfId="0" applyFont="1" applyFill="1" applyBorder="1" applyAlignment="1">
      <alignment vertical="center"/>
    </xf>
    <xf numFmtId="0" fontId="18" fillId="30" borderId="1" xfId="0" applyFont="1" applyFill="1" applyBorder="1" applyAlignment="1">
      <alignment horizontal="center" vertical="center"/>
    </xf>
    <xf numFmtId="0" fontId="18" fillId="30" borderId="7" xfId="0" applyFont="1" applyFill="1" applyBorder="1" applyAlignment="1">
      <alignment horizontal="center" vertical="center"/>
    </xf>
    <xf numFmtId="0" fontId="17" fillId="29" borderId="1" xfId="0" applyFont="1" applyFill="1" applyBorder="1" applyAlignment="1">
      <alignment vertical="center"/>
    </xf>
    <xf numFmtId="0" fontId="18" fillId="29" borderId="1" xfId="0" applyFont="1" applyFill="1" applyBorder="1" applyAlignment="1">
      <alignment horizontal="center" vertical="center"/>
    </xf>
    <xf numFmtId="0" fontId="18" fillId="29" borderId="7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43" fontId="17" fillId="0" borderId="0" xfId="0" applyNumberFormat="1" applyFont="1" applyAlignment="1">
      <alignment vertical="center"/>
    </xf>
    <xf numFmtId="166" fontId="17" fillId="0" borderId="3" xfId="0" applyNumberFormat="1" applyFont="1" applyBorder="1" applyAlignment="1">
      <alignment vertical="center"/>
    </xf>
    <xf numFmtId="166" fontId="17" fillId="0" borderId="3" xfId="0" applyNumberFormat="1" applyFont="1" applyFill="1" applyBorder="1" applyAlignment="1">
      <alignment vertical="center"/>
    </xf>
    <xf numFmtId="2" fontId="17" fillId="0" borderId="3" xfId="0" applyNumberFormat="1" applyFont="1" applyBorder="1" applyAlignment="1">
      <alignment vertical="center"/>
    </xf>
    <xf numFmtId="0" fontId="18" fillId="29" borderId="3" xfId="0" applyFont="1" applyFill="1" applyBorder="1" applyAlignment="1">
      <alignment horizontal="center" vertical="center"/>
    </xf>
    <xf numFmtId="0" fontId="18" fillId="30" borderId="3" xfId="0" applyFont="1" applyFill="1" applyBorder="1" applyAlignment="1">
      <alignment horizontal="center" vertical="center"/>
    </xf>
    <xf numFmtId="0" fontId="18" fillId="30" borderId="3" xfId="0" applyFont="1" applyFill="1" applyBorder="1" applyAlignment="1">
      <alignment horizontal="center" vertical="center"/>
    </xf>
    <xf numFmtId="0" fontId="18" fillId="29" borderId="3" xfId="0" applyFont="1" applyFill="1" applyBorder="1" applyAlignment="1">
      <alignment horizontal="center" vertical="center"/>
    </xf>
    <xf numFmtId="179" fontId="20" fillId="14" borderId="3" xfId="2" applyNumberFormat="1" applyFont="1" applyFill="1" applyBorder="1" applyAlignment="1">
      <alignment vertical="center"/>
    </xf>
    <xf numFmtId="180" fontId="20" fillId="14" borderId="3" xfId="2" applyNumberFormat="1" applyFont="1" applyFill="1" applyBorder="1" applyAlignment="1">
      <alignment vertical="center"/>
    </xf>
    <xf numFmtId="43" fontId="20" fillId="14" borderId="3" xfId="2" applyNumberFormat="1" applyFont="1" applyFill="1" applyBorder="1" applyAlignment="1">
      <alignment vertical="center"/>
    </xf>
    <xf numFmtId="180" fontId="20" fillId="28" borderId="3" xfId="2" applyNumberFormat="1" applyFont="1" applyFill="1" applyBorder="1" applyAlignment="1">
      <alignment vertical="center"/>
    </xf>
    <xf numFmtId="2" fontId="20" fillId="14" borderId="3" xfId="0" applyNumberFormat="1" applyFont="1" applyFill="1" applyBorder="1" applyAlignment="1">
      <alignment vertical="center"/>
    </xf>
    <xf numFmtId="180" fontId="20" fillId="14" borderId="3" xfId="0" applyNumberFormat="1" applyFont="1" applyFill="1" applyBorder="1" applyAlignment="1">
      <alignment vertical="center"/>
    </xf>
    <xf numFmtId="179" fontId="20" fillId="14" borderId="14" xfId="2" applyNumberFormat="1" applyFont="1" applyFill="1" applyBorder="1" applyAlignment="1">
      <alignment vertical="center"/>
    </xf>
    <xf numFmtId="180" fontId="20" fillId="14" borderId="14" xfId="2" applyNumberFormat="1" applyFont="1" applyFill="1" applyBorder="1" applyAlignment="1">
      <alignment vertical="center"/>
    </xf>
    <xf numFmtId="43" fontId="20" fillId="14" borderId="14" xfId="2" applyNumberFormat="1" applyFont="1" applyFill="1" applyBorder="1" applyAlignment="1">
      <alignment vertical="center"/>
    </xf>
    <xf numFmtId="180" fontId="20" fillId="28" borderId="14" xfId="2" applyNumberFormat="1" applyFont="1" applyFill="1" applyBorder="1" applyAlignment="1">
      <alignment vertical="center"/>
    </xf>
    <xf numFmtId="2" fontId="20" fillId="14" borderId="14" xfId="0" applyNumberFormat="1" applyFont="1" applyFill="1" applyBorder="1" applyAlignment="1">
      <alignment vertical="center"/>
    </xf>
    <xf numFmtId="180" fontId="20" fillId="14" borderId="14" xfId="0" applyNumberFormat="1" applyFont="1" applyFill="1" applyBorder="1" applyAlignment="1">
      <alignment vertical="center"/>
    </xf>
    <xf numFmtId="181" fontId="20" fillId="14" borderId="3" xfId="2" applyNumberFormat="1" applyFont="1" applyFill="1" applyBorder="1" applyAlignment="1">
      <alignment vertical="center"/>
    </xf>
    <xf numFmtId="181" fontId="20" fillId="14" borderId="14" xfId="2" applyNumberFormat="1" applyFont="1" applyFill="1" applyBorder="1" applyAlignment="1">
      <alignment vertical="center"/>
    </xf>
    <xf numFmtId="3" fontId="20" fillId="20" borderId="3" xfId="0" applyNumberFormat="1" applyFont="1" applyFill="1" applyBorder="1" applyAlignment="1">
      <alignment horizontal="center" vertical="center"/>
    </xf>
    <xf numFmtId="4" fontId="20" fillId="20" borderId="3" xfId="0" applyNumberFormat="1" applyFont="1" applyFill="1" applyBorder="1" applyAlignment="1">
      <alignment horizontal="center" vertical="center"/>
    </xf>
    <xf numFmtId="0" fontId="19" fillId="18" borderId="3" xfId="0" applyFont="1" applyFill="1" applyBorder="1" applyAlignment="1">
      <alignment horizontal="center" vertical="center"/>
    </xf>
    <xf numFmtId="9" fontId="20" fillId="28" borderId="3" xfId="4" applyFont="1" applyFill="1" applyBorder="1" applyAlignment="1">
      <alignment horizontal="center" vertical="center"/>
    </xf>
    <xf numFmtId="9" fontId="20" fillId="20" borderId="3" xfId="4" applyFont="1" applyFill="1" applyBorder="1" applyAlignment="1">
      <alignment horizontal="center" vertical="center"/>
    </xf>
    <xf numFmtId="9" fontId="20" fillId="14" borderId="3" xfId="0" applyNumberFormat="1" applyFont="1" applyFill="1" applyBorder="1" applyAlignment="1">
      <alignment horizontal="center" vertical="center"/>
    </xf>
    <xf numFmtId="180" fontId="20" fillId="20" borderId="3" xfId="2" applyNumberFormat="1" applyFont="1" applyFill="1" applyBorder="1" applyAlignment="1">
      <alignment vertical="center"/>
    </xf>
    <xf numFmtId="180" fontId="20" fillId="14" borderId="2" xfId="2" applyNumberFormat="1" applyFont="1" applyFill="1" applyBorder="1" applyAlignment="1">
      <alignment vertical="center"/>
    </xf>
    <xf numFmtId="3" fontId="20" fillId="20" borderId="14" xfId="0" applyNumberFormat="1" applyFont="1" applyFill="1" applyBorder="1" applyAlignment="1">
      <alignment horizontal="center" vertical="center"/>
    </xf>
    <xf numFmtId="4" fontId="20" fillId="20" borderId="14" xfId="0" applyNumberFormat="1" applyFont="1" applyFill="1" applyBorder="1" applyAlignment="1">
      <alignment horizontal="center" vertical="center"/>
    </xf>
    <xf numFmtId="0" fontId="19" fillId="18" borderId="14" xfId="0" applyFont="1" applyFill="1" applyBorder="1" applyAlignment="1">
      <alignment horizontal="center" vertical="center"/>
    </xf>
    <xf numFmtId="9" fontId="20" fillId="20" borderId="14" xfId="4" applyFont="1" applyFill="1" applyBorder="1" applyAlignment="1">
      <alignment horizontal="center" vertical="center"/>
    </xf>
    <xf numFmtId="9" fontId="20" fillId="28" borderId="14" xfId="4" applyFont="1" applyFill="1" applyBorder="1" applyAlignment="1">
      <alignment horizontal="center" vertical="center"/>
    </xf>
    <xf numFmtId="9" fontId="20" fillId="14" borderId="14" xfId="0" applyNumberFormat="1" applyFont="1" applyFill="1" applyBorder="1" applyAlignment="1">
      <alignment horizontal="center" vertical="center"/>
    </xf>
    <xf numFmtId="180" fontId="20" fillId="20" borderId="14" xfId="2" applyNumberFormat="1" applyFont="1" applyFill="1" applyBorder="1" applyAlignment="1">
      <alignment vertical="center"/>
    </xf>
    <xf numFmtId="180" fontId="20" fillId="14" borderId="15" xfId="2" applyNumberFormat="1" applyFont="1" applyFill="1" applyBorder="1" applyAlignment="1">
      <alignment vertical="center"/>
    </xf>
    <xf numFmtId="0" fontId="20" fillId="18" borderId="1" xfId="0" applyFont="1" applyFill="1" applyBorder="1" applyAlignment="1">
      <alignment vertical="center"/>
    </xf>
    <xf numFmtId="0" fontId="19" fillId="29" borderId="3" xfId="0" applyFont="1" applyFill="1" applyBorder="1" applyAlignment="1">
      <alignment horizontal="center" vertical="center"/>
    </xf>
    <xf numFmtId="0" fontId="19" fillId="30" borderId="3" xfId="0" applyFont="1" applyFill="1" applyBorder="1" applyAlignment="1">
      <alignment horizontal="center" vertical="center"/>
    </xf>
    <xf numFmtId="0" fontId="20" fillId="18" borderId="3" xfId="0" applyFont="1" applyFill="1" applyBorder="1" applyAlignment="1">
      <alignment vertical="center"/>
    </xf>
    <xf numFmtId="0" fontId="19" fillId="18" borderId="2" xfId="0" applyFont="1" applyFill="1" applyBorder="1" applyAlignment="1">
      <alignment horizontal="center" vertical="center"/>
    </xf>
    <xf numFmtId="0" fontId="19" fillId="18" borderId="3" xfId="0" applyFont="1" applyFill="1" applyBorder="1" applyAlignment="1">
      <alignment horizontal="right" vertical="center"/>
    </xf>
    <xf numFmtId="0" fontId="19" fillId="18" borderId="3" xfId="0" applyFont="1" applyFill="1" applyBorder="1" applyAlignment="1">
      <alignment horizontal="left" vertical="center"/>
    </xf>
    <xf numFmtId="0" fontId="20" fillId="30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31" borderId="0" xfId="0" applyFont="1" applyFill="1" applyAlignment="1">
      <alignment vertical="center"/>
    </xf>
    <xf numFmtId="0" fontId="17" fillId="31" borderId="0" xfId="0" applyFont="1" applyFill="1" applyAlignment="1">
      <alignment vertical="center"/>
    </xf>
    <xf numFmtId="43" fontId="21" fillId="14" borderId="3" xfId="2" applyNumberFormat="1" applyFont="1" applyFill="1" applyBorder="1" applyAlignment="1">
      <alignment vertical="center"/>
    </xf>
    <xf numFmtId="170" fontId="21" fillId="14" borderId="3" xfId="2" applyNumberFormat="1" applyFont="1" applyFill="1" applyBorder="1" applyAlignment="1">
      <alignment horizontal="center" vertical="center"/>
    </xf>
    <xf numFmtId="43" fontId="21" fillId="14" borderId="2" xfId="2" applyNumberFormat="1" applyFont="1" applyFill="1" applyBorder="1" applyAlignment="1">
      <alignment horizontal="center" vertical="center"/>
    </xf>
    <xf numFmtId="43" fontId="21" fillId="14" borderId="14" xfId="2" applyNumberFormat="1" applyFont="1" applyFill="1" applyBorder="1" applyAlignment="1">
      <alignment vertical="center"/>
    </xf>
    <xf numFmtId="170" fontId="21" fillId="14" borderId="14" xfId="2" applyNumberFormat="1" applyFont="1" applyFill="1" applyBorder="1" applyAlignment="1">
      <alignment horizontal="center" vertical="center"/>
    </xf>
    <xf numFmtId="43" fontId="21" fillId="14" borderId="15" xfId="2" applyNumberFormat="1" applyFont="1" applyFill="1" applyBorder="1" applyAlignment="1">
      <alignment horizontal="center" vertical="center"/>
    </xf>
    <xf numFmtId="0" fontId="22" fillId="29" borderId="3" xfId="0" applyFont="1" applyFill="1" applyBorder="1" applyAlignment="1">
      <alignment horizontal="center" vertical="center"/>
    </xf>
    <xf numFmtId="0" fontId="22" fillId="29" borderId="2" xfId="0" applyFont="1" applyFill="1" applyBorder="1" applyAlignment="1">
      <alignment horizontal="center" vertical="center"/>
    </xf>
    <xf numFmtId="0" fontId="23" fillId="29" borderId="3" xfId="0" applyFont="1" applyFill="1" applyBorder="1" applyAlignment="1">
      <alignment horizontal="center" vertical="center"/>
    </xf>
    <xf numFmtId="0" fontId="23" fillId="29" borderId="2" xfId="0" applyFont="1" applyFill="1" applyBorder="1" applyAlignment="1">
      <alignment horizontal="center" vertical="center"/>
    </xf>
    <xf numFmtId="0" fontId="22" fillId="30" borderId="3" xfId="0" applyFont="1" applyFill="1" applyBorder="1" applyAlignment="1">
      <alignment horizontal="center" vertical="center"/>
    </xf>
    <xf numFmtId="0" fontId="22" fillId="30" borderId="2" xfId="0" applyFont="1" applyFill="1" applyBorder="1" applyAlignment="1">
      <alignment horizontal="center" vertical="center"/>
    </xf>
    <xf numFmtId="0" fontId="23" fillId="30" borderId="3" xfId="0" applyFont="1" applyFill="1" applyBorder="1" applyAlignment="1">
      <alignment horizontal="center" vertical="center"/>
    </xf>
    <xf numFmtId="0" fontId="23" fillId="30" borderId="2" xfId="0" applyFont="1" applyFill="1" applyBorder="1" applyAlignment="1">
      <alignment horizontal="center" vertical="center"/>
    </xf>
    <xf numFmtId="0" fontId="22" fillId="18" borderId="11" xfId="0" applyFont="1" applyFill="1" applyBorder="1" applyAlignment="1">
      <alignment horizontal="center" vertical="center"/>
    </xf>
    <xf numFmtId="0" fontId="22" fillId="18" borderId="12" xfId="0" applyFont="1" applyFill="1" applyBorder="1" applyAlignment="1">
      <alignment horizontal="center" vertical="center"/>
    </xf>
    <xf numFmtId="1" fontId="21" fillId="27" borderId="1" xfId="0" applyNumberFormat="1" applyFont="1" applyFill="1" applyBorder="1" applyAlignment="1">
      <alignment horizontal="center" vertical="center"/>
    </xf>
    <xf numFmtId="49" fontId="21" fillId="27" borderId="2" xfId="0" applyNumberFormat="1" applyFont="1" applyFill="1" applyBorder="1" applyAlignment="1">
      <alignment horizontal="center" vertical="center"/>
    </xf>
    <xf numFmtId="49" fontId="21" fillId="27" borderId="7" xfId="0" applyNumberFormat="1" applyFont="1" applyFill="1" applyBorder="1" applyAlignment="1">
      <alignment horizontal="center" vertical="center"/>
    </xf>
    <xf numFmtId="49" fontId="21" fillId="27" borderId="15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17" fillId="20" borderId="3" xfId="0" applyNumberFormat="1" applyFont="1" applyFill="1" applyBorder="1" applyAlignment="1">
      <alignment horizontal="center"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8" fillId="5" borderId="2" xfId="0" applyNumberFormat="1" applyFont="1" applyFill="1" applyBorder="1" applyAlignment="1" applyProtection="1">
      <alignment horizontal="center"/>
      <protection hidden="1"/>
    </xf>
    <xf numFmtId="168" fontId="18" fillId="0" borderId="0" xfId="0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/>
    <xf numFmtId="0" fontId="18" fillId="0" borderId="0" xfId="0" applyFont="1" applyAlignment="1">
      <alignment horizontal="right"/>
    </xf>
    <xf numFmtId="3" fontId="18" fillId="0" borderId="0" xfId="0" applyNumberFormat="1" applyFont="1" applyAlignment="1">
      <alignment horizontal="left"/>
    </xf>
    <xf numFmtId="2" fontId="17" fillId="0" borderId="0" xfId="0" applyNumberFormat="1" applyFont="1"/>
    <xf numFmtId="0" fontId="18" fillId="2" borderId="11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0" fontId="18" fillId="20" borderId="32" xfId="0" applyFont="1" applyFill="1" applyBorder="1" applyAlignment="1">
      <alignment horizontal="center"/>
    </xf>
    <xf numFmtId="164" fontId="17" fillId="0" borderId="0" xfId="0" applyNumberFormat="1" applyFont="1"/>
    <xf numFmtId="164" fontId="17" fillId="0" borderId="0" xfId="0" applyNumberFormat="1" applyFont="1" applyAlignment="1">
      <alignment horizontal="center"/>
    </xf>
    <xf numFmtId="3" fontId="17" fillId="0" borderId="0" xfId="0" applyNumberFormat="1" applyFont="1"/>
    <xf numFmtId="3" fontId="18" fillId="4" borderId="54" xfId="0" applyNumberFormat="1" applyFont="1" applyFill="1" applyBorder="1" applyAlignment="1" applyProtection="1">
      <alignment horizontal="center"/>
      <protection locked="0"/>
    </xf>
    <xf numFmtId="2" fontId="17" fillId="5" borderId="14" xfId="0" applyNumberFormat="1" applyFont="1" applyFill="1" applyBorder="1" applyAlignment="1" applyProtection="1">
      <alignment horizontal="center"/>
      <protection hidden="1"/>
    </xf>
    <xf numFmtId="0" fontId="17" fillId="4" borderId="26" xfId="0" applyFont="1" applyFill="1" applyBorder="1" applyAlignment="1" applyProtection="1">
      <alignment horizontal="center"/>
      <protection locked="0"/>
    </xf>
    <xf numFmtId="1" fontId="17" fillId="5" borderId="14" xfId="0" applyNumberFormat="1" applyFont="1" applyFill="1" applyBorder="1" applyAlignment="1" applyProtection="1">
      <alignment horizontal="center"/>
      <protection hidden="1"/>
    </xf>
    <xf numFmtId="0" fontId="17" fillId="4" borderId="14" xfId="0" applyFont="1" applyFill="1" applyBorder="1" applyAlignment="1" applyProtection="1">
      <alignment horizontal="center"/>
      <protection locked="0"/>
    </xf>
    <xf numFmtId="2" fontId="18" fillId="6" borderId="7" xfId="0" applyNumberFormat="1" applyFont="1" applyFill="1" applyBorder="1" applyAlignment="1" applyProtection="1">
      <alignment horizontal="center"/>
      <protection hidden="1"/>
    </xf>
    <xf numFmtId="2" fontId="17" fillId="6" borderId="15" xfId="0" applyNumberFormat="1" applyFont="1" applyFill="1" applyBorder="1" applyAlignment="1" applyProtection="1">
      <alignment horizontal="center"/>
      <protection hidden="1"/>
    </xf>
    <xf numFmtId="2" fontId="18" fillId="3" borderId="7" xfId="0" applyNumberFormat="1" applyFont="1" applyFill="1" applyBorder="1" applyAlignment="1" applyProtection="1">
      <alignment horizontal="center"/>
      <protection hidden="1"/>
    </xf>
    <xf numFmtId="2" fontId="17" fillId="3" borderId="15" xfId="0" applyNumberFormat="1" applyFont="1" applyFill="1" applyBorder="1" applyAlignment="1" applyProtection="1">
      <alignment horizontal="center"/>
      <protection hidden="1"/>
    </xf>
    <xf numFmtId="2" fontId="17" fillId="5" borderId="47" xfId="0" applyNumberFormat="1" applyFont="1" applyFill="1" applyBorder="1" applyAlignment="1" applyProtection="1">
      <alignment horizontal="center"/>
      <protection hidden="1"/>
    </xf>
    <xf numFmtId="3" fontId="19" fillId="5" borderId="1" xfId="0" applyNumberFormat="1" applyFont="1" applyFill="1" applyBorder="1" applyAlignment="1" applyProtection="1">
      <alignment horizontal="center"/>
      <protection hidden="1"/>
    </xf>
    <xf numFmtId="4" fontId="20" fillId="5" borderId="2" xfId="0" applyNumberFormat="1" applyFont="1" applyFill="1" applyBorder="1" applyAlignment="1" applyProtection="1">
      <alignment horizontal="center"/>
      <protection hidden="1"/>
    </xf>
    <xf numFmtId="3" fontId="19" fillId="5" borderId="3" xfId="0" applyNumberFormat="1" applyFont="1" applyFill="1" applyBorder="1" applyAlignment="1" applyProtection="1">
      <alignment horizontal="center"/>
      <protection hidden="1"/>
    </xf>
    <xf numFmtId="0" fontId="17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2" fontId="18" fillId="0" borderId="8" xfId="0" applyNumberFormat="1" applyFont="1" applyFill="1" applyBorder="1" applyAlignment="1" applyProtection="1">
      <alignment horizontal="center"/>
      <protection hidden="1"/>
    </xf>
    <xf numFmtId="2" fontId="17" fillId="0" borderId="10" xfId="0" applyNumberFormat="1" applyFont="1" applyFill="1" applyBorder="1" applyAlignment="1" applyProtection="1">
      <alignment horizontal="center"/>
      <protection hidden="1"/>
    </xf>
    <xf numFmtId="2" fontId="18" fillId="0" borderId="9" xfId="0" applyNumberFormat="1" applyFont="1" applyFill="1" applyBorder="1" applyAlignment="1" applyProtection="1">
      <alignment horizontal="center"/>
      <protection hidden="1"/>
    </xf>
    <xf numFmtId="4" fontId="17" fillId="5" borderId="7" xfId="0" applyNumberFormat="1" applyFont="1" applyFill="1" applyBorder="1" applyAlignment="1" applyProtection="1">
      <alignment horizontal="center"/>
      <protection hidden="1"/>
    </xf>
    <xf numFmtId="4" fontId="17" fillId="5" borderId="14" xfId="0" applyNumberFormat="1" applyFont="1" applyFill="1" applyBorder="1" applyAlignment="1" applyProtection="1">
      <alignment horizontal="center"/>
      <protection hidden="1"/>
    </xf>
    <xf numFmtId="4" fontId="17" fillId="5" borderId="15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Border="1" applyAlignment="1">
      <alignment horizontal="center"/>
    </xf>
    <xf numFmtId="4" fontId="19" fillId="5" borderId="1" xfId="0" applyNumberFormat="1" applyFont="1" applyFill="1" applyBorder="1" applyAlignment="1" applyProtection="1">
      <alignment horizontal="center"/>
      <protection hidden="1"/>
    </xf>
    <xf numFmtId="4" fontId="20" fillId="5" borderId="3" xfId="0" applyNumberFormat="1" applyFont="1" applyFill="1" applyBorder="1" applyAlignment="1" applyProtection="1">
      <alignment horizontal="center"/>
      <protection hidden="1"/>
    </xf>
    <xf numFmtId="3" fontId="17" fillId="0" borderId="0" xfId="0" applyNumberFormat="1" applyFont="1" applyFill="1"/>
    <xf numFmtId="0" fontId="17" fillId="0" borderId="0" xfId="0" applyFont="1" applyFill="1" applyAlignment="1">
      <alignment horizontal="center"/>
    </xf>
    <xf numFmtId="3" fontId="18" fillId="27" borderId="11" xfId="0" applyNumberFormat="1" applyFont="1" applyFill="1" applyBorder="1"/>
    <xf numFmtId="0" fontId="18" fillId="27" borderId="12" xfId="0" applyFont="1" applyFill="1" applyBorder="1"/>
    <xf numFmtId="175" fontId="20" fillId="5" borderId="1" xfId="0" applyNumberFormat="1" applyFont="1" applyFill="1" applyBorder="1" applyAlignment="1" applyProtection="1">
      <alignment horizontal="center"/>
      <protection hidden="1"/>
    </xf>
    <xf numFmtId="175" fontId="20" fillId="5" borderId="2" xfId="0" applyNumberFormat="1" applyFont="1" applyFill="1" applyBorder="1" applyAlignment="1" applyProtection="1">
      <alignment horizontal="center"/>
      <protection hidden="1"/>
    </xf>
    <xf numFmtId="175" fontId="20" fillId="5" borderId="3" xfId="0" applyNumberFormat="1" applyFont="1" applyFill="1" applyBorder="1" applyAlignment="1" applyProtection="1">
      <alignment horizontal="center"/>
      <protection hidden="1"/>
    </xf>
    <xf numFmtId="3" fontId="18" fillId="27" borderId="1" xfId="0" applyNumberFormat="1" applyFont="1" applyFill="1" applyBorder="1"/>
    <xf numFmtId="0" fontId="18" fillId="27" borderId="2" xfId="0" applyFont="1" applyFill="1" applyBorder="1"/>
    <xf numFmtId="1" fontId="20" fillId="2" borderId="1" xfId="0" applyNumberFormat="1" applyFont="1" applyFill="1" applyBorder="1" applyAlignment="1" applyProtection="1">
      <alignment horizontal="center"/>
      <protection hidden="1"/>
    </xf>
    <xf numFmtId="1" fontId="20" fillId="2" borderId="2" xfId="0" applyNumberFormat="1" applyFont="1" applyFill="1" applyBorder="1" applyAlignment="1" applyProtection="1">
      <alignment horizontal="center"/>
      <protection hidden="1"/>
    </xf>
    <xf numFmtId="1" fontId="20" fillId="2" borderId="3" xfId="0" applyNumberFormat="1" applyFont="1" applyFill="1" applyBorder="1" applyAlignment="1" applyProtection="1">
      <alignment horizontal="center"/>
      <protection hidden="1"/>
    </xf>
    <xf numFmtId="4" fontId="17" fillId="4" borderId="14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167" fontId="20" fillId="2" borderId="1" xfId="0" applyNumberFormat="1" applyFont="1" applyFill="1" applyBorder="1" applyAlignment="1" applyProtection="1">
      <alignment horizontal="center"/>
      <protection hidden="1"/>
    </xf>
    <xf numFmtId="167" fontId="20" fillId="2" borderId="2" xfId="0" applyNumberFormat="1" applyFont="1" applyFill="1" applyBorder="1" applyAlignment="1" applyProtection="1">
      <alignment horizontal="center"/>
      <protection hidden="1"/>
    </xf>
    <xf numFmtId="167" fontId="20" fillId="2" borderId="3" xfId="0" applyNumberFormat="1" applyFont="1" applyFill="1" applyBorder="1" applyAlignment="1" applyProtection="1">
      <alignment horizontal="center"/>
      <protection hidden="1"/>
    </xf>
    <xf numFmtId="0" fontId="18" fillId="27" borderId="1" xfId="0" applyFont="1" applyFill="1" applyBorder="1"/>
    <xf numFmtId="164" fontId="20" fillId="2" borderId="1" xfId="0" applyNumberFormat="1" applyFont="1" applyFill="1" applyBorder="1" applyAlignment="1" applyProtection="1">
      <alignment horizontal="center"/>
      <protection hidden="1"/>
    </xf>
    <xf numFmtId="164" fontId="20" fillId="2" borderId="2" xfId="0" applyNumberFormat="1" applyFont="1" applyFill="1" applyBorder="1" applyAlignment="1" applyProtection="1">
      <alignment horizontal="center"/>
      <protection hidden="1"/>
    </xf>
    <xf numFmtId="164" fontId="20" fillId="2" borderId="3" xfId="0" applyNumberFormat="1" applyFont="1" applyFill="1" applyBorder="1" applyAlignment="1" applyProtection="1">
      <alignment horizontal="center"/>
      <protection hidden="1"/>
    </xf>
    <xf numFmtId="0" fontId="18" fillId="27" borderId="7" xfId="0" applyFont="1" applyFill="1" applyBorder="1"/>
    <xf numFmtId="0" fontId="18" fillId="27" borderId="15" xfId="0" applyFont="1" applyFill="1" applyBorder="1"/>
    <xf numFmtId="164" fontId="20" fillId="2" borderId="7" xfId="0" applyNumberFormat="1" applyFont="1" applyFill="1" applyBorder="1" applyAlignment="1" applyProtection="1">
      <alignment horizontal="center"/>
      <protection hidden="1"/>
    </xf>
    <xf numFmtId="164" fontId="20" fillId="2" borderId="15" xfId="0" applyNumberFormat="1" applyFont="1" applyFill="1" applyBorder="1" applyAlignment="1" applyProtection="1">
      <alignment horizontal="center"/>
      <protection hidden="1"/>
    </xf>
    <xf numFmtId="164" fontId="20" fillId="2" borderId="14" xfId="0" applyNumberFormat="1" applyFont="1" applyFill="1" applyBorder="1" applyAlignment="1" applyProtection="1">
      <alignment horizontal="center"/>
      <protection hidden="1"/>
    </xf>
    <xf numFmtId="3" fontId="18" fillId="4" borderId="7" xfId="0" applyNumberFormat="1" applyFont="1" applyFill="1" applyBorder="1" applyAlignment="1" applyProtection="1">
      <alignment horizontal="center"/>
      <protection locked="0"/>
    </xf>
    <xf numFmtId="4" fontId="19" fillId="5" borderId="2" xfId="0" applyNumberFormat="1" applyFont="1" applyFill="1" applyBorder="1" applyAlignment="1" applyProtection="1">
      <alignment horizontal="center"/>
      <protection hidden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3" fontId="17" fillId="4" borderId="7" xfId="0" applyNumberFormat="1" applyFont="1" applyFill="1" applyBorder="1" applyAlignment="1" applyProtection="1">
      <alignment horizontal="center"/>
      <protection locked="0"/>
    </xf>
    <xf numFmtId="168" fontId="18" fillId="5" borderId="14" xfId="0" applyNumberFormat="1" applyFont="1" applyFill="1" applyBorder="1" applyAlignment="1" applyProtection="1">
      <alignment horizontal="center"/>
      <protection hidden="1"/>
    </xf>
    <xf numFmtId="168" fontId="17" fillId="5" borderId="15" xfId="0" applyNumberFormat="1" applyFont="1" applyFill="1" applyBorder="1" applyAlignment="1" applyProtection="1">
      <alignment horizontal="center"/>
      <protection hidden="1"/>
    </xf>
    <xf numFmtId="2" fontId="17" fillId="4" borderId="14" xfId="0" applyNumberFormat="1" applyFont="1" applyFill="1" applyBorder="1" applyAlignment="1" applyProtection="1">
      <alignment horizontal="center"/>
      <protection locked="0"/>
    </xf>
    <xf numFmtId="168" fontId="18" fillId="5" borderId="15" xfId="0" applyNumberFormat="1" applyFont="1" applyFill="1" applyBorder="1" applyAlignment="1" applyProtection="1">
      <alignment horizontal="center"/>
      <protection hidden="1"/>
    </xf>
    <xf numFmtId="175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Alignment="1">
      <alignment horizontal="center"/>
    </xf>
    <xf numFmtId="172" fontId="17" fillId="4" borderId="14" xfId="0" applyNumberFormat="1" applyFont="1" applyFill="1" applyBorder="1" applyAlignment="1" applyProtection="1">
      <alignment horizontal="center"/>
      <protection locked="0"/>
    </xf>
    <xf numFmtId="3" fontId="17" fillId="5" borderId="15" xfId="0" applyNumberFormat="1" applyFont="1" applyFill="1" applyBorder="1" applyAlignment="1" applyProtection="1">
      <alignment horizontal="center"/>
      <protection hidden="1"/>
    </xf>
    <xf numFmtId="0" fontId="17" fillId="2" borderId="1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 applyProtection="1">
      <alignment horizontal="center"/>
      <protection locked="0"/>
    </xf>
    <xf numFmtId="2" fontId="17" fillId="5" borderId="15" xfId="0" applyNumberFormat="1" applyFont="1" applyFill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/>
      <protection locked="0"/>
    </xf>
    <xf numFmtId="0" fontId="17" fillId="4" borderId="3" xfId="0" applyFont="1" applyFill="1" applyBorder="1" applyAlignment="1" applyProtection="1">
      <alignment horizontal="center"/>
      <protection locked="0"/>
    </xf>
    <xf numFmtId="2" fontId="17" fillId="5" borderId="3" xfId="0" applyNumberFormat="1" applyFont="1" applyFill="1" applyBorder="1" applyAlignment="1" applyProtection="1">
      <alignment horizontal="center"/>
      <protection hidden="1"/>
    </xf>
    <xf numFmtId="3" fontId="17" fillId="5" borderId="2" xfId="0" applyNumberFormat="1" applyFont="1" applyFill="1" applyBorder="1" applyAlignment="1" applyProtection="1">
      <alignment horizontal="center"/>
      <protection hidden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5" borderId="7" xfId="0" applyFont="1" applyFill="1" applyBorder="1" applyAlignment="1" applyProtection="1">
      <alignment horizont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1" fontId="17" fillId="5" borderId="15" xfId="0" applyNumberFormat="1" applyFont="1" applyFill="1" applyBorder="1" applyAlignment="1" applyProtection="1">
      <alignment horizontal="center"/>
      <protection hidden="1"/>
    </xf>
    <xf numFmtId="0" fontId="17" fillId="9" borderId="23" xfId="0" applyFont="1" applyFill="1" applyBorder="1" applyAlignment="1">
      <alignment horizontal="center" vertical="center" wrapText="1"/>
    </xf>
    <xf numFmtId="3" fontId="17" fillId="5" borderId="27" xfId="0" applyNumberFormat="1" applyFont="1" applyFill="1" applyBorder="1" applyAlignment="1" applyProtection="1">
      <alignment horizontal="center"/>
      <protection hidden="1"/>
    </xf>
    <xf numFmtId="0" fontId="18" fillId="2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>
      <alignment horizontal="center" vertical="center"/>
    </xf>
    <xf numFmtId="3" fontId="17" fillId="5" borderId="15" xfId="0" applyNumberFormat="1" applyFont="1" applyFill="1" applyBorder="1" applyAlignment="1" applyProtection="1">
      <alignment horizontal="center" vertical="center"/>
      <protection hidden="1"/>
    </xf>
    <xf numFmtId="0" fontId="17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168" fontId="17" fillId="5" borderId="2" xfId="0" applyNumberFormat="1" applyFont="1" applyFill="1" applyBorder="1" applyAlignment="1" applyProtection="1">
      <alignment horizontal="center" vertical="center"/>
      <protection hidden="1"/>
    </xf>
    <xf numFmtId="174" fontId="17" fillId="5" borderId="15" xfId="0" applyNumberFormat="1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17" fillId="27" borderId="2" xfId="0" applyFont="1" applyFill="1" applyBorder="1" applyAlignment="1">
      <alignment horizontal="center" vertical="center"/>
    </xf>
    <xf numFmtId="0" fontId="17" fillId="18" borderId="7" xfId="0" applyFont="1" applyFill="1" applyBorder="1" applyAlignment="1">
      <alignment horizontal="center" vertical="center"/>
    </xf>
    <xf numFmtId="0" fontId="17" fillId="27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" fontId="17" fillId="14" borderId="13" xfId="0" applyNumberFormat="1" applyFont="1" applyFill="1" applyBorder="1" applyAlignment="1">
      <alignment horizontal="center" vertical="center"/>
    </xf>
    <xf numFmtId="0" fontId="17" fillId="20" borderId="13" xfId="0" applyFont="1" applyFill="1" applyBorder="1" applyAlignment="1">
      <alignment horizontal="center" vertical="center"/>
    </xf>
    <xf numFmtId="0" fontId="17" fillId="20" borderId="12" xfId="0" applyFont="1" applyFill="1" applyBorder="1" applyAlignment="1">
      <alignment horizontal="center" vertical="center"/>
    </xf>
    <xf numFmtId="3" fontId="17" fillId="14" borderId="3" xfId="0" applyNumberFormat="1" applyFont="1" applyFill="1" applyBorder="1" applyAlignment="1">
      <alignment horizontal="center" vertical="center"/>
    </xf>
    <xf numFmtId="3" fontId="17" fillId="20" borderId="2" xfId="0" applyNumberFormat="1" applyFont="1" applyFill="1" applyBorder="1" applyAlignment="1">
      <alignment horizontal="center" vertical="center"/>
    </xf>
    <xf numFmtId="0" fontId="17" fillId="20" borderId="3" xfId="0" applyFont="1" applyFill="1" applyBorder="1" applyAlignment="1">
      <alignment horizontal="center" vertical="center"/>
    </xf>
    <xf numFmtId="2" fontId="17" fillId="14" borderId="3" xfId="0" applyNumberFormat="1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center" vertical="center"/>
    </xf>
    <xf numFmtId="0" fontId="17" fillId="20" borderId="14" xfId="0" applyFont="1" applyFill="1" applyBorder="1" applyAlignment="1">
      <alignment horizontal="center" vertical="center"/>
    </xf>
    <xf numFmtId="2" fontId="17" fillId="14" borderId="1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7" fontId="17" fillId="3" borderId="2" xfId="0" applyNumberFormat="1" applyFont="1" applyFill="1" applyBorder="1" applyAlignment="1">
      <alignment horizontal="center" vertical="center"/>
    </xf>
    <xf numFmtId="167" fontId="17" fillId="0" borderId="0" xfId="0" applyNumberFormat="1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1" fontId="17" fillId="5" borderId="12" xfId="0" applyNumberFormat="1" applyFont="1" applyFill="1" applyBorder="1" applyAlignment="1">
      <alignment horizontal="center" vertical="center"/>
    </xf>
    <xf numFmtId="167" fontId="17" fillId="3" borderId="3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167" fontId="17" fillId="3" borderId="22" xfId="0" applyNumberFormat="1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1" fontId="17" fillId="5" borderId="15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167" fontId="17" fillId="3" borderId="14" xfId="0" applyNumberFormat="1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left" vertical="center"/>
    </xf>
    <xf numFmtId="0" fontId="17" fillId="17" borderId="3" xfId="0" applyFont="1" applyFill="1" applyBorder="1" applyAlignment="1">
      <alignment horizontal="center" vertical="center"/>
    </xf>
    <xf numFmtId="2" fontId="17" fillId="17" borderId="3" xfId="0" applyNumberFormat="1" applyFont="1" applyFill="1" applyBorder="1" applyAlignment="1">
      <alignment horizontal="center" vertical="center"/>
    </xf>
    <xf numFmtId="2" fontId="17" fillId="17" borderId="3" xfId="0" applyNumberFormat="1" applyFont="1" applyFill="1" applyBorder="1" applyAlignment="1">
      <alignment horizontal="right" vertical="center"/>
    </xf>
    <xf numFmtId="3" fontId="17" fillId="17" borderId="3" xfId="0" applyNumberFormat="1" applyFont="1" applyFill="1" applyBorder="1" applyAlignment="1" applyProtection="1">
      <alignment horizontal="right" vertical="center"/>
      <protection hidden="1"/>
    </xf>
    <xf numFmtId="164" fontId="17" fillId="17" borderId="3" xfId="0" applyNumberFormat="1" applyFont="1" applyFill="1" applyBorder="1" applyAlignment="1" applyProtection="1">
      <alignment horizontal="center" vertical="center"/>
      <protection hidden="1"/>
    </xf>
    <xf numFmtId="167" fontId="17" fillId="17" borderId="3" xfId="0" applyNumberFormat="1" applyFont="1" applyFill="1" applyBorder="1" applyAlignment="1" applyProtection="1">
      <alignment horizontal="center" vertical="center"/>
      <protection hidden="1"/>
    </xf>
    <xf numFmtId="0" fontId="17" fillId="17" borderId="2" xfId="0" applyFont="1" applyFill="1" applyBorder="1" applyAlignment="1" applyProtection="1">
      <alignment horizontal="center" vertical="center"/>
      <protection hidden="1"/>
    </xf>
    <xf numFmtId="3" fontId="17" fillId="17" borderId="3" xfId="0" applyNumberFormat="1" applyFont="1" applyFill="1" applyBorder="1" applyAlignment="1">
      <alignment horizontal="right" vertical="center"/>
    </xf>
    <xf numFmtId="164" fontId="17" fillId="17" borderId="3" xfId="0" applyNumberFormat="1" applyFont="1" applyFill="1" applyBorder="1" applyAlignment="1">
      <alignment horizontal="center" vertical="center"/>
    </xf>
    <xf numFmtId="167" fontId="17" fillId="17" borderId="3" xfId="0" applyNumberFormat="1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17" fillId="21" borderId="3" xfId="0" applyFont="1" applyFill="1" applyBorder="1" applyAlignment="1">
      <alignment horizontal="left" vertical="center"/>
    </xf>
    <xf numFmtId="0" fontId="17" fillId="21" borderId="3" xfId="0" applyFont="1" applyFill="1" applyBorder="1" applyAlignment="1">
      <alignment horizontal="center" vertical="center"/>
    </xf>
    <xf numFmtId="2" fontId="17" fillId="21" borderId="3" xfId="0" applyNumberFormat="1" applyFont="1" applyFill="1" applyBorder="1" applyAlignment="1">
      <alignment horizontal="center" vertical="center"/>
    </xf>
    <xf numFmtId="2" fontId="17" fillId="21" borderId="3" xfId="0" applyNumberFormat="1" applyFont="1" applyFill="1" applyBorder="1" applyAlignment="1">
      <alignment horizontal="right" vertical="center"/>
    </xf>
    <xf numFmtId="3" fontId="17" fillId="21" borderId="3" xfId="0" applyNumberFormat="1" applyFont="1" applyFill="1" applyBorder="1" applyAlignment="1">
      <alignment horizontal="right" vertical="center"/>
    </xf>
    <xf numFmtId="164" fontId="17" fillId="21" borderId="3" xfId="0" applyNumberFormat="1" applyFont="1" applyFill="1" applyBorder="1" applyAlignment="1">
      <alignment horizontal="center" vertical="center"/>
    </xf>
    <xf numFmtId="167" fontId="17" fillId="21" borderId="3" xfId="0" applyNumberFormat="1" applyFont="1" applyFill="1" applyBorder="1" applyAlignment="1">
      <alignment horizontal="center" vertical="center"/>
    </xf>
    <xf numFmtId="0" fontId="17" fillId="21" borderId="2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left" vertical="center"/>
    </xf>
    <xf numFmtId="0" fontId="17" fillId="23" borderId="3" xfId="0" applyFont="1" applyFill="1" applyBorder="1" applyAlignment="1">
      <alignment horizontal="center" vertical="center"/>
    </xf>
    <xf numFmtId="2" fontId="17" fillId="23" borderId="3" xfId="0" applyNumberFormat="1" applyFont="1" applyFill="1" applyBorder="1" applyAlignment="1">
      <alignment horizontal="center" vertical="center"/>
    </xf>
    <xf numFmtId="2" fontId="17" fillId="23" borderId="3" xfId="0" applyNumberFormat="1" applyFont="1" applyFill="1" applyBorder="1" applyAlignment="1">
      <alignment horizontal="right" vertical="center"/>
    </xf>
    <xf numFmtId="3" fontId="17" fillId="23" borderId="3" xfId="0" applyNumberFormat="1" applyFont="1" applyFill="1" applyBorder="1" applyAlignment="1">
      <alignment horizontal="right" vertical="center"/>
    </xf>
    <xf numFmtId="164" fontId="17" fillId="23" borderId="3" xfId="0" applyNumberFormat="1" applyFont="1" applyFill="1" applyBorder="1" applyAlignment="1">
      <alignment horizontal="center" vertical="center"/>
    </xf>
    <xf numFmtId="167" fontId="17" fillId="23" borderId="3" xfId="0" applyNumberFormat="1" applyFont="1" applyFill="1" applyBorder="1" applyAlignment="1">
      <alignment horizontal="center" vertical="center"/>
    </xf>
    <xf numFmtId="0" fontId="17" fillId="23" borderId="2" xfId="0" applyFont="1" applyFill="1" applyBorder="1" applyAlignment="1">
      <alignment horizontal="center" vertical="center"/>
    </xf>
    <xf numFmtId="0" fontId="17" fillId="22" borderId="3" xfId="0" applyFont="1" applyFill="1" applyBorder="1" applyAlignment="1">
      <alignment horizontal="left" vertical="center"/>
    </xf>
    <xf numFmtId="0" fontId="17" fillId="22" borderId="3" xfId="0" applyFont="1" applyFill="1" applyBorder="1" applyAlignment="1">
      <alignment horizontal="center" vertical="center"/>
    </xf>
    <xf numFmtId="2" fontId="17" fillId="22" borderId="3" xfId="0" applyNumberFormat="1" applyFont="1" applyFill="1" applyBorder="1" applyAlignment="1">
      <alignment horizontal="center" vertical="center"/>
    </xf>
    <xf numFmtId="2" fontId="17" fillId="22" borderId="3" xfId="0" applyNumberFormat="1" applyFont="1" applyFill="1" applyBorder="1" applyAlignment="1">
      <alignment horizontal="right" vertical="center"/>
    </xf>
    <xf numFmtId="3" fontId="17" fillId="22" borderId="3" xfId="0" applyNumberFormat="1" applyFont="1" applyFill="1" applyBorder="1" applyAlignment="1">
      <alignment horizontal="right" vertical="center"/>
    </xf>
    <xf numFmtId="164" fontId="17" fillId="22" borderId="3" xfId="0" applyNumberFormat="1" applyFont="1" applyFill="1" applyBorder="1" applyAlignment="1">
      <alignment horizontal="center" vertical="center"/>
    </xf>
    <xf numFmtId="167" fontId="17" fillId="22" borderId="3" xfId="0" applyNumberFormat="1" applyFont="1" applyFill="1" applyBorder="1" applyAlignment="1">
      <alignment horizontal="center" vertical="center"/>
    </xf>
    <xf numFmtId="0" fontId="17" fillId="22" borderId="2" xfId="0" applyFont="1" applyFill="1" applyBorder="1" applyAlignment="1">
      <alignment horizontal="center" vertical="center"/>
    </xf>
    <xf numFmtId="0" fontId="18" fillId="24" borderId="1" xfId="0" applyFont="1" applyFill="1" applyBorder="1" applyAlignment="1">
      <alignment horizontal="left" vertical="center"/>
    </xf>
    <xf numFmtId="0" fontId="17" fillId="24" borderId="3" xfId="0" applyFont="1" applyFill="1" applyBorder="1" applyAlignment="1">
      <alignment horizontal="left" vertical="center"/>
    </xf>
    <xf numFmtId="0" fontId="17" fillId="24" borderId="3" xfId="0" applyFont="1" applyFill="1" applyBorder="1" applyAlignment="1">
      <alignment horizontal="center" vertical="center"/>
    </xf>
    <xf numFmtId="2" fontId="17" fillId="24" borderId="3" xfId="0" applyNumberFormat="1" applyFont="1" applyFill="1" applyBorder="1" applyAlignment="1">
      <alignment horizontal="center" vertical="center"/>
    </xf>
    <xf numFmtId="2" fontId="17" fillId="24" borderId="3" xfId="0" applyNumberFormat="1" applyFont="1" applyFill="1" applyBorder="1" applyAlignment="1">
      <alignment horizontal="right" vertical="center"/>
    </xf>
    <xf numFmtId="3" fontId="17" fillId="24" borderId="3" xfId="0" applyNumberFormat="1" applyFont="1" applyFill="1" applyBorder="1" applyAlignment="1">
      <alignment horizontal="right" vertical="center"/>
    </xf>
    <xf numFmtId="164" fontId="17" fillId="24" borderId="3" xfId="0" applyNumberFormat="1" applyFont="1" applyFill="1" applyBorder="1" applyAlignment="1">
      <alignment horizontal="center" vertical="center"/>
    </xf>
    <xf numFmtId="167" fontId="17" fillId="24" borderId="3" xfId="0" applyNumberFormat="1" applyFont="1" applyFill="1" applyBorder="1" applyAlignment="1">
      <alignment horizontal="center" vertical="center"/>
    </xf>
    <xf numFmtId="0" fontId="17" fillId="24" borderId="2" xfId="0" applyFont="1" applyFill="1" applyBorder="1" applyAlignment="1">
      <alignment horizontal="center" vertical="center"/>
    </xf>
    <xf numFmtId="0" fontId="17" fillId="25" borderId="3" xfId="0" applyFont="1" applyFill="1" applyBorder="1" applyAlignment="1">
      <alignment horizontal="left" vertical="center"/>
    </xf>
    <xf numFmtId="0" fontId="17" fillId="25" borderId="3" xfId="0" applyFont="1" applyFill="1" applyBorder="1" applyAlignment="1">
      <alignment horizontal="center" vertical="center"/>
    </xf>
    <xf numFmtId="2" fontId="17" fillId="25" borderId="3" xfId="0" applyNumberFormat="1" applyFont="1" applyFill="1" applyBorder="1" applyAlignment="1">
      <alignment horizontal="center" vertical="center"/>
    </xf>
    <xf numFmtId="2" fontId="17" fillId="25" borderId="3" xfId="0" applyNumberFormat="1" applyFont="1" applyFill="1" applyBorder="1" applyAlignment="1">
      <alignment horizontal="right" vertical="center"/>
    </xf>
    <xf numFmtId="3" fontId="17" fillId="25" borderId="3" xfId="0" applyNumberFormat="1" applyFont="1" applyFill="1" applyBorder="1" applyAlignment="1">
      <alignment horizontal="right" vertical="center"/>
    </xf>
    <xf numFmtId="164" fontId="17" fillId="25" borderId="3" xfId="0" applyNumberFormat="1" applyFont="1" applyFill="1" applyBorder="1" applyAlignment="1">
      <alignment horizontal="center" vertical="center"/>
    </xf>
    <xf numFmtId="167" fontId="17" fillId="25" borderId="3" xfId="0" applyNumberFormat="1" applyFont="1" applyFill="1" applyBorder="1" applyAlignment="1">
      <alignment horizontal="center" vertical="center"/>
    </xf>
    <xf numFmtId="0" fontId="17" fillId="25" borderId="2" xfId="0" applyFont="1" applyFill="1" applyBorder="1" applyAlignment="1">
      <alignment horizontal="center" vertical="center"/>
    </xf>
    <xf numFmtId="0" fontId="17" fillId="25" borderId="14" xfId="0" applyFont="1" applyFill="1" applyBorder="1" applyAlignment="1">
      <alignment horizontal="center" vertical="center"/>
    </xf>
    <xf numFmtId="2" fontId="17" fillId="25" borderId="14" xfId="0" applyNumberFormat="1" applyFont="1" applyFill="1" applyBorder="1" applyAlignment="1">
      <alignment horizontal="center" vertical="center"/>
    </xf>
    <xf numFmtId="2" fontId="17" fillId="25" borderId="14" xfId="0" applyNumberFormat="1" applyFont="1" applyFill="1" applyBorder="1" applyAlignment="1">
      <alignment horizontal="right" vertical="center"/>
    </xf>
    <xf numFmtId="3" fontId="17" fillId="25" borderId="14" xfId="0" applyNumberFormat="1" applyFont="1" applyFill="1" applyBorder="1" applyAlignment="1">
      <alignment horizontal="right" vertical="center"/>
    </xf>
    <xf numFmtId="164" fontId="17" fillId="25" borderId="14" xfId="0" applyNumberFormat="1" applyFont="1" applyFill="1" applyBorder="1" applyAlignment="1">
      <alignment horizontal="center" vertical="center"/>
    </xf>
    <xf numFmtId="0" fontId="17" fillId="25" borderId="15" xfId="0" applyFont="1" applyFill="1" applyBorder="1" applyAlignment="1">
      <alignment horizontal="center" vertical="center"/>
    </xf>
    <xf numFmtId="0" fontId="18" fillId="0" borderId="57" xfId="0" applyFont="1" applyFill="1" applyBorder="1" applyAlignment="1">
      <alignment vertical="center"/>
    </xf>
    <xf numFmtId="0" fontId="18" fillId="8" borderId="0" xfId="0" applyFont="1" applyFill="1" applyBorder="1" applyAlignment="1">
      <alignment horizontal="left" vertical="center"/>
    </xf>
    <xf numFmtId="0" fontId="17" fillId="18" borderId="32" xfId="0" applyFont="1" applyFill="1" applyBorder="1" applyAlignment="1">
      <alignment horizontal="left" vertical="center"/>
    </xf>
    <xf numFmtId="9" fontId="17" fillId="18" borderId="4" xfId="0" applyNumberFormat="1" applyFont="1" applyFill="1" applyBorder="1" applyAlignment="1">
      <alignment horizontal="center" vertical="center" wrapText="1"/>
    </xf>
    <xf numFmtId="9" fontId="17" fillId="18" borderId="5" xfId="0" applyNumberFormat="1" applyFont="1" applyFill="1" applyBorder="1" applyAlignment="1">
      <alignment horizontal="center" vertical="center" wrapText="1"/>
    </xf>
    <xf numFmtId="10" fontId="17" fillId="18" borderId="6" xfId="0" applyNumberFormat="1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vertical="center"/>
    </xf>
    <xf numFmtId="0" fontId="17" fillId="18" borderId="5" xfId="0" applyFont="1" applyFill="1" applyBorder="1" applyAlignment="1">
      <alignment vertical="center"/>
    </xf>
    <xf numFmtId="0" fontId="17" fillId="18" borderId="6" xfId="0" applyFont="1" applyFill="1" applyBorder="1" applyAlignment="1">
      <alignment vertical="center"/>
    </xf>
    <xf numFmtId="0" fontId="17" fillId="18" borderId="34" xfId="0" applyFont="1" applyFill="1" applyBorder="1" applyAlignment="1">
      <alignment horizontal="left" vertical="center"/>
    </xf>
    <xf numFmtId="3" fontId="17" fillId="27" borderId="33" xfId="0" applyNumberFormat="1" applyFont="1" applyFill="1" applyBorder="1" applyAlignment="1">
      <alignment horizontal="right" vertical="center"/>
    </xf>
    <xf numFmtId="3" fontId="17" fillId="27" borderId="9" xfId="0" applyNumberFormat="1" applyFont="1" applyFill="1" applyBorder="1" applyAlignment="1">
      <alignment horizontal="right" vertical="center"/>
    </xf>
    <xf numFmtId="3" fontId="17" fillId="27" borderId="10" xfId="0" applyNumberFormat="1" applyFont="1" applyFill="1" applyBorder="1" applyAlignment="1">
      <alignment horizontal="right" vertical="center"/>
    </xf>
    <xf numFmtId="3" fontId="17" fillId="27" borderId="8" xfId="0" applyNumberFormat="1" applyFont="1" applyFill="1" applyBorder="1" applyAlignment="1">
      <alignment horizontal="right" vertical="center"/>
    </xf>
    <xf numFmtId="0" fontId="17" fillId="20" borderId="30" xfId="0" applyFont="1" applyFill="1" applyBorder="1" applyAlignment="1">
      <alignment horizontal="left" vertical="center"/>
    </xf>
    <xf numFmtId="0" fontId="17" fillId="20" borderId="35" xfId="0" applyFont="1" applyFill="1" applyBorder="1" applyAlignment="1">
      <alignment horizontal="right" vertical="center"/>
    </xf>
    <xf numFmtId="0" fontId="17" fillId="20" borderId="3" xfId="0" applyFont="1" applyFill="1" applyBorder="1" applyAlignment="1">
      <alignment horizontal="right" vertical="center"/>
    </xf>
    <xf numFmtId="0" fontId="17" fillId="20" borderId="2" xfId="0" applyFont="1" applyFill="1" applyBorder="1" applyAlignment="1">
      <alignment horizontal="right" vertical="center"/>
    </xf>
    <xf numFmtId="3" fontId="17" fillId="20" borderId="1" xfId="0" applyNumberFormat="1" applyFont="1" applyFill="1" applyBorder="1"/>
    <xf numFmtId="3" fontId="17" fillId="20" borderId="3" xfId="0" applyNumberFormat="1" applyFont="1" applyFill="1" applyBorder="1"/>
    <xf numFmtId="3" fontId="17" fillId="20" borderId="2" xfId="0" applyNumberFormat="1" applyFont="1" applyFill="1" applyBorder="1"/>
    <xf numFmtId="167" fontId="17" fillId="18" borderId="30" xfId="0" applyNumberFormat="1" applyFont="1" applyFill="1" applyBorder="1" applyAlignment="1">
      <alignment horizontal="left" vertical="center"/>
    </xf>
    <xf numFmtId="3" fontId="17" fillId="27" borderId="35" xfId="0" applyNumberFormat="1" applyFont="1" applyFill="1" applyBorder="1" applyAlignment="1">
      <alignment horizontal="right" vertical="center"/>
    </xf>
    <xf numFmtId="3" fontId="17" fillId="27" borderId="3" xfId="0" applyNumberFormat="1" applyFont="1" applyFill="1" applyBorder="1" applyAlignment="1">
      <alignment horizontal="right" vertical="center"/>
    </xf>
    <xf numFmtId="3" fontId="17" fillId="27" borderId="2" xfId="0" applyNumberFormat="1" applyFont="1" applyFill="1" applyBorder="1" applyAlignment="1">
      <alignment horizontal="right" vertical="center"/>
    </xf>
    <xf numFmtId="3" fontId="17" fillId="27" borderId="1" xfId="0" applyNumberFormat="1" applyFont="1" applyFill="1" applyBorder="1" applyAlignment="1">
      <alignment horizontal="right" vertical="center"/>
    </xf>
    <xf numFmtId="0" fontId="17" fillId="18" borderId="30" xfId="0" applyFont="1" applyFill="1" applyBorder="1" applyAlignment="1">
      <alignment horizontal="left" vertical="center"/>
    </xf>
    <xf numFmtId="10" fontId="17" fillId="27" borderId="1" xfId="4" applyNumberFormat="1" applyFont="1" applyFill="1" applyBorder="1" applyAlignment="1">
      <alignment horizontal="right" vertical="center"/>
    </xf>
    <xf numFmtId="10" fontId="17" fillId="27" borderId="3" xfId="4" applyNumberFormat="1" applyFont="1" applyFill="1" applyBorder="1" applyAlignment="1">
      <alignment horizontal="right" vertical="center"/>
    </xf>
    <xf numFmtId="10" fontId="17" fillId="27" borderId="2" xfId="4" applyNumberFormat="1" applyFont="1" applyFill="1" applyBorder="1" applyAlignment="1">
      <alignment horizontal="right" vertical="center"/>
    </xf>
    <xf numFmtId="3" fontId="17" fillId="14" borderId="30" xfId="0" applyNumberFormat="1" applyFont="1" applyFill="1" applyBorder="1" applyAlignment="1">
      <alignment horizontal="left" vertical="center"/>
    </xf>
    <xf numFmtId="3" fontId="17" fillId="14" borderId="35" xfId="4" applyNumberFormat="1" applyFont="1" applyFill="1" applyBorder="1" applyAlignment="1">
      <alignment horizontal="right" vertical="center"/>
    </xf>
    <xf numFmtId="3" fontId="17" fillId="14" borderId="3" xfId="4" applyNumberFormat="1" applyFont="1" applyFill="1" applyBorder="1" applyAlignment="1">
      <alignment horizontal="right" vertical="center"/>
    </xf>
    <xf numFmtId="3" fontId="17" fillId="14" borderId="2" xfId="4" applyNumberFormat="1" applyFont="1" applyFill="1" applyBorder="1" applyAlignment="1">
      <alignment horizontal="right" vertical="center"/>
    </xf>
    <xf numFmtId="10" fontId="17" fillId="14" borderId="1" xfId="4" applyNumberFormat="1" applyFont="1" applyFill="1" applyBorder="1" applyAlignment="1">
      <alignment horizontal="right" vertical="center"/>
    </xf>
    <xf numFmtId="10" fontId="17" fillId="14" borderId="3" xfId="4" applyNumberFormat="1" applyFont="1" applyFill="1" applyBorder="1" applyAlignment="1">
      <alignment horizontal="right" vertical="center"/>
    </xf>
    <xf numFmtId="10" fontId="17" fillId="14" borderId="2" xfId="4" applyNumberFormat="1" applyFont="1" applyFill="1" applyBorder="1" applyAlignment="1">
      <alignment horizontal="right" vertical="center"/>
    </xf>
    <xf numFmtId="1" fontId="17" fillId="18" borderId="30" xfId="0" applyNumberFormat="1" applyFont="1" applyFill="1" applyBorder="1" applyAlignment="1">
      <alignment horizontal="left" vertical="center"/>
    </xf>
    <xf numFmtId="173" fontId="17" fillId="27" borderId="35" xfId="0" applyNumberFormat="1" applyFont="1" applyFill="1" applyBorder="1" applyAlignment="1">
      <alignment horizontal="right" vertical="center"/>
    </xf>
    <xf numFmtId="173" fontId="17" fillId="27" borderId="3" xfId="0" applyNumberFormat="1" applyFont="1" applyFill="1" applyBorder="1" applyAlignment="1">
      <alignment horizontal="right" vertical="center"/>
    </xf>
    <xf numFmtId="173" fontId="17" fillId="27" borderId="2" xfId="0" applyNumberFormat="1" applyFont="1" applyFill="1" applyBorder="1" applyAlignment="1">
      <alignment horizontal="right" vertical="center"/>
    </xf>
    <xf numFmtId="173" fontId="17" fillId="27" borderId="1" xfId="0" applyNumberFormat="1" applyFont="1" applyFill="1" applyBorder="1" applyAlignment="1">
      <alignment horizontal="right" vertical="center"/>
    </xf>
    <xf numFmtId="0" fontId="17" fillId="18" borderId="31" xfId="0" applyFont="1" applyFill="1" applyBorder="1" applyAlignment="1">
      <alignment horizontal="left" vertical="center"/>
    </xf>
    <xf numFmtId="166" fontId="17" fillId="27" borderId="26" xfId="0" applyNumberFormat="1" applyFont="1" applyFill="1" applyBorder="1" applyAlignment="1">
      <alignment horizontal="right" vertical="center"/>
    </xf>
    <xf numFmtId="166" fontId="17" fillId="27" borderId="14" xfId="0" applyNumberFormat="1" applyFont="1" applyFill="1" applyBorder="1" applyAlignment="1">
      <alignment horizontal="right" vertical="center"/>
    </xf>
    <xf numFmtId="166" fontId="17" fillId="27" borderId="15" xfId="0" applyNumberFormat="1" applyFont="1" applyFill="1" applyBorder="1" applyAlignment="1">
      <alignment horizontal="right" vertical="center"/>
    </xf>
    <xf numFmtId="166" fontId="17" fillId="27" borderId="7" xfId="0" applyNumberFormat="1" applyFont="1" applyFill="1" applyBorder="1" applyAlignment="1">
      <alignment horizontal="right" vertical="center"/>
    </xf>
    <xf numFmtId="0" fontId="17" fillId="18" borderId="29" xfId="0" applyFont="1" applyFill="1" applyBorder="1" applyAlignment="1">
      <alignment horizontal="left" vertical="center"/>
    </xf>
    <xf numFmtId="3" fontId="17" fillId="27" borderId="28" xfId="0" applyNumberFormat="1" applyFont="1" applyFill="1" applyBorder="1" applyAlignment="1">
      <alignment horizontal="right" vertical="center"/>
    </xf>
    <xf numFmtId="3" fontId="17" fillId="27" borderId="13" xfId="0" applyNumberFormat="1" applyFont="1" applyFill="1" applyBorder="1" applyAlignment="1">
      <alignment horizontal="right" vertical="center"/>
    </xf>
    <xf numFmtId="3" fontId="17" fillId="27" borderId="12" xfId="0" applyNumberFormat="1" applyFont="1" applyFill="1" applyBorder="1" applyAlignment="1">
      <alignment horizontal="right" vertical="center"/>
    </xf>
    <xf numFmtId="10" fontId="17" fillId="27" borderId="11" xfId="4" applyNumberFormat="1" applyFont="1" applyFill="1" applyBorder="1" applyAlignment="1">
      <alignment horizontal="right" vertical="center"/>
    </xf>
    <xf numFmtId="10" fontId="17" fillId="27" borderId="13" xfId="4" applyNumberFormat="1" applyFont="1" applyFill="1" applyBorder="1" applyAlignment="1">
      <alignment horizontal="right" vertical="center"/>
    </xf>
    <xf numFmtId="10" fontId="17" fillId="27" borderId="12" xfId="4" applyNumberFormat="1" applyFont="1" applyFill="1" applyBorder="1" applyAlignment="1">
      <alignment horizontal="right" vertical="center"/>
    </xf>
    <xf numFmtId="10" fontId="17" fillId="20" borderId="1" xfId="4" applyNumberFormat="1" applyFont="1" applyFill="1" applyBorder="1" applyAlignment="1">
      <alignment horizontal="right" vertical="center"/>
    </xf>
    <xf numFmtId="10" fontId="17" fillId="20" borderId="3" xfId="4" applyNumberFormat="1" applyFont="1" applyFill="1" applyBorder="1" applyAlignment="1">
      <alignment horizontal="right" vertical="center"/>
    </xf>
    <xf numFmtId="10" fontId="17" fillId="20" borderId="2" xfId="4" applyNumberFormat="1" applyFont="1" applyFill="1" applyBorder="1" applyAlignment="1">
      <alignment horizontal="right" vertical="center"/>
    </xf>
    <xf numFmtId="3" fontId="17" fillId="27" borderId="1" xfId="4" applyNumberFormat="1" applyFont="1" applyFill="1" applyBorder="1" applyAlignment="1">
      <alignment horizontal="right" vertical="center"/>
    </xf>
    <xf numFmtId="3" fontId="17" fillId="14" borderId="1" xfId="4" applyNumberFormat="1" applyFont="1" applyFill="1" applyBorder="1" applyAlignment="1">
      <alignment horizontal="right" vertical="center"/>
    </xf>
    <xf numFmtId="10" fontId="17" fillId="20" borderId="12" xfId="0" applyNumberFormat="1" applyFont="1" applyFill="1" applyBorder="1" applyAlignment="1">
      <alignment horizontal="center" vertical="center"/>
    </xf>
    <xf numFmtId="10" fontId="17" fillId="20" borderId="2" xfId="0" applyNumberFormat="1" applyFont="1" applyFill="1" applyBorder="1" applyAlignment="1">
      <alignment horizontal="center" vertical="center"/>
    </xf>
    <xf numFmtId="10" fontId="17" fillId="14" borderId="15" xfId="4" applyNumberFormat="1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3" fontId="17" fillId="3" borderId="1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3" fontId="17" fillId="3" borderId="15" xfId="0" applyNumberFormat="1" applyFont="1" applyFill="1" applyBorder="1" applyAlignment="1">
      <alignment horizontal="center" vertical="center"/>
    </xf>
    <xf numFmtId="3" fontId="17" fillId="5" borderId="12" xfId="0" applyNumberFormat="1" applyFont="1" applyFill="1" applyBorder="1" applyAlignment="1" applyProtection="1">
      <alignment horizontal="center" vertical="center"/>
      <protection hidden="1"/>
    </xf>
    <xf numFmtId="3" fontId="17" fillId="4" borderId="3" xfId="0" applyNumberFormat="1" applyFont="1" applyFill="1" applyBorder="1" applyAlignment="1" applyProtection="1">
      <alignment horizontal="center" vertical="center"/>
      <protection locked="0"/>
    </xf>
    <xf numFmtId="3" fontId="17" fillId="5" borderId="2" xfId="0" applyNumberFormat="1" applyFont="1" applyFill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>
      <alignment horizontal="center" vertical="center"/>
    </xf>
    <xf numFmtId="3" fontId="17" fillId="4" borderId="2" xfId="0" applyNumberFormat="1" applyFont="1" applyFill="1" applyBorder="1" applyAlignment="1" applyProtection="1">
      <alignment horizontal="center" vertical="center"/>
      <protection locked="0"/>
    </xf>
    <xf numFmtId="4" fontId="17" fillId="5" borderId="2" xfId="0" applyNumberFormat="1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>
      <alignment horizontal="center"/>
    </xf>
    <xf numFmtId="3" fontId="17" fillId="4" borderId="14" xfId="0" applyNumberFormat="1" applyFont="1" applyFill="1" applyBorder="1" applyAlignment="1" applyProtection="1">
      <alignment horizontal="center" vertical="center"/>
      <protection locked="0"/>
    </xf>
    <xf numFmtId="2" fontId="17" fillId="4" borderId="2" xfId="0" applyNumberFormat="1" applyFont="1" applyFill="1" applyBorder="1" applyAlignment="1" applyProtection="1">
      <alignment horizontal="center" vertical="center"/>
      <protection locked="0"/>
    </xf>
    <xf numFmtId="4" fontId="17" fillId="5" borderId="15" xfId="0" applyNumberFormat="1" applyFont="1" applyFill="1" applyBorder="1" applyAlignment="1" applyProtection="1">
      <alignment horizontal="center" vertical="center"/>
      <protection hidden="1"/>
    </xf>
    <xf numFmtId="3" fontId="18" fillId="5" borderId="15" xfId="0" applyNumberFormat="1" applyFont="1" applyFill="1" applyBorder="1" applyAlignment="1" applyProtection="1">
      <alignment horizontal="center" vertical="center"/>
      <protection hidden="1"/>
    </xf>
    <xf numFmtId="2" fontId="17" fillId="4" borderId="3" xfId="0" applyNumberFormat="1" applyFont="1" applyFill="1" applyBorder="1" applyAlignment="1" applyProtection="1">
      <alignment horizontal="center" vertical="center"/>
      <protection locked="0"/>
    </xf>
    <xf numFmtId="171" fontId="17" fillId="5" borderId="2" xfId="0" applyNumberFormat="1" applyFont="1" applyFill="1" applyBorder="1" applyAlignment="1" applyProtection="1">
      <alignment horizontal="center" vertical="center"/>
      <protection hidden="1"/>
    </xf>
    <xf numFmtId="2" fontId="17" fillId="5" borderId="2" xfId="0" applyNumberFormat="1" applyFont="1" applyFill="1" applyBorder="1" applyAlignment="1" applyProtection="1">
      <alignment horizontal="center" vertical="center"/>
      <protection hidden="1"/>
    </xf>
    <xf numFmtId="174" fontId="17" fillId="5" borderId="10" xfId="0" applyNumberFormat="1" applyFont="1" applyFill="1" applyBorder="1" applyAlignment="1" applyProtection="1">
      <alignment horizontal="center" vertical="center"/>
      <protection hidden="1"/>
    </xf>
    <xf numFmtId="0" fontId="17" fillId="5" borderId="15" xfId="0" applyFont="1" applyFill="1" applyBorder="1" applyAlignment="1" applyProtection="1">
      <alignment horizontal="center" vertical="center"/>
      <protection hidden="1"/>
    </xf>
    <xf numFmtId="0" fontId="18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3" xfId="0" applyFont="1" applyFill="1" applyBorder="1" applyAlignment="1" applyProtection="1">
      <alignment horizontal="center" vertical="center" wrapText="1"/>
      <protection locked="0"/>
    </xf>
    <xf numFmtId="4" fontId="17" fillId="5" borderId="3" xfId="0" applyNumberFormat="1" applyFont="1" applyFill="1" applyBorder="1" applyAlignment="1" applyProtection="1">
      <alignment horizontal="center" vertical="center"/>
      <protection hidden="1"/>
    </xf>
    <xf numFmtId="4" fontId="17" fillId="5" borderId="14" xfId="0" applyNumberFormat="1" applyFont="1" applyFill="1" applyBorder="1" applyAlignment="1" applyProtection="1">
      <alignment horizontal="center" vertical="center"/>
      <protection hidden="1"/>
    </xf>
    <xf numFmtId="4" fontId="18" fillId="5" borderId="15" xfId="0" applyNumberFormat="1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3" fontId="17" fillId="5" borderId="3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3" fontId="17" fillId="5" borderId="14" xfId="0" applyNumberFormat="1" applyFont="1" applyFill="1" applyBorder="1" applyAlignment="1" applyProtection="1">
      <alignment horizontal="center" vertical="center"/>
      <protection hidden="1"/>
    </xf>
    <xf numFmtId="4" fontId="17" fillId="4" borderId="3" xfId="0" applyNumberFormat="1" applyFont="1" applyFill="1" applyBorder="1" applyAlignment="1" applyProtection="1">
      <alignment horizontal="center" vertical="center"/>
      <protection locked="0"/>
    </xf>
    <xf numFmtId="4" fontId="17" fillId="4" borderId="14" xfId="0" applyNumberFormat="1" applyFont="1" applyFill="1" applyBorder="1" applyAlignment="1" applyProtection="1">
      <alignment horizontal="center" vertical="center"/>
      <protection locked="0"/>
    </xf>
    <xf numFmtId="4" fontId="17" fillId="4" borderId="13" xfId="0" applyNumberFormat="1" applyFont="1" applyFill="1" applyBorder="1" applyAlignment="1" applyProtection="1">
      <alignment horizontal="center" vertical="center"/>
      <protection locked="0"/>
    </xf>
    <xf numFmtId="2" fontId="17" fillId="5" borderId="3" xfId="0" applyNumberFormat="1" applyFont="1" applyFill="1" applyBorder="1" applyAlignment="1" applyProtection="1">
      <alignment horizontal="center" vertical="center"/>
      <protection hidden="1"/>
    </xf>
    <xf numFmtId="3" fontId="17" fillId="4" borderId="13" xfId="0" applyNumberFormat="1" applyFont="1" applyFill="1" applyBorder="1" applyAlignment="1" applyProtection="1">
      <alignment horizontal="center" vertical="center"/>
      <protection locked="0"/>
    </xf>
    <xf numFmtId="2" fontId="17" fillId="5" borderId="14" xfId="0" applyNumberFormat="1" applyFont="1" applyFill="1" applyBorder="1" applyAlignment="1" applyProtection="1">
      <alignment horizontal="center" vertical="center"/>
      <protection hidden="1"/>
    </xf>
    <xf numFmtId="49" fontId="17" fillId="2" borderId="1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177" fontId="17" fillId="5" borderId="3" xfId="0" applyNumberFormat="1" applyFont="1" applyFill="1" applyBorder="1" applyAlignment="1" applyProtection="1">
      <alignment horizontal="center" vertical="center"/>
      <protection hidden="1"/>
    </xf>
    <xf numFmtId="175" fontId="17" fillId="4" borderId="2" xfId="0" applyNumberFormat="1" applyFont="1" applyFill="1" applyBorder="1" applyAlignment="1" applyProtection="1">
      <alignment horizontal="center" vertical="center"/>
      <protection locked="0"/>
    </xf>
    <xf numFmtId="2" fontId="17" fillId="5" borderId="1" xfId="0" applyNumberFormat="1" applyFont="1" applyFill="1" applyBorder="1" applyAlignment="1" applyProtection="1">
      <alignment horizontal="center" vertical="center"/>
      <protection hidden="1"/>
    </xf>
    <xf numFmtId="175" fontId="17" fillId="5" borderId="3" xfId="0" applyNumberFormat="1" applyFont="1" applyFill="1" applyBorder="1" applyAlignment="1" applyProtection="1">
      <alignment horizontal="center" vertical="center"/>
      <protection hidden="1"/>
    </xf>
    <xf numFmtId="3" fontId="17" fillId="0" borderId="2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3" fontId="17" fillId="0" borderId="15" xfId="0" applyNumberFormat="1" applyFont="1" applyFill="1" applyBorder="1" applyAlignment="1">
      <alignment horizontal="center" vertical="center"/>
    </xf>
    <xf numFmtId="2" fontId="17" fillId="0" borderId="7" xfId="0" applyNumberFormat="1" applyFont="1" applyFill="1" applyBorder="1" applyAlignment="1">
      <alignment horizontal="center" vertical="center"/>
    </xf>
    <xf numFmtId="2" fontId="17" fillId="0" borderId="14" xfId="0" applyNumberFormat="1" applyFont="1" applyFill="1" applyBorder="1" applyAlignment="1">
      <alignment horizontal="center" vertical="center"/>
    </xf>
    <xf numFmtId="4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49" fontId="17" fillId="2" borderId="24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/>
    </xf>
    <xf numFmtId="49" fontId="17" fillId="2" borderId="13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174" fontId="17" fillId="5" borderId="3" xfId="0" applyNumberFormat="1" applyFont="1" applyFill="1" applyBorder="1" applyAlignment="1" applyProtection="1">
      <alignment horizontal="center" vertical="center"/>
      <protection hidden="1"/>
    </xf>
    <xf numFmtId="4" fontId="17" fillId="5" borderId="12" xfId="0" applyNumberFormat="1" applyFont="1" applyFill="1" applyBorder="1" applyAlignment="1" applyProtection="1">
      <alignment horizontal="center" vertical="center"/>
      <protection hidden="1"/>
    </xf>
    <xf numFmtId="9" fontId="17" fillId="4" borderId="14" xfId="4" applyFont="1" applyFill="1" applyBorder="1" applyAlignment="1" applyProtection="1">
      <alignment horizontal="center" vertical="center"/>
      <protection locked="0"/>
    </xf>
    <xf numFmtId="165" fontId="17" fillId="5" borderId="15" xfId="4" applyNumberFormat="1" applyFont="1" applyFill="1" applyBorder="1" applyAlignment="1" applyProtection="1">
      <alignment horizontal="center" vertical="center"/>
      <protection hidden="1"/>
    </xf>
    <xf numFmtId="4" fontId="17" fillId="3" borderId="3" xfId="0" applyNumberFormat="1" applyFont="1" applyFill="1" applyBorder="1" applyAlignment="1">
      <alignment horizontal="center" vertical="center"/>
    </xf>
    <xf numFmtId="10" fontId="17" fillId="5" borderId="2" xfId="4" applyNumberFormat="1" applyFont="1" applyFill="1" applyBorder="1" applyAlignment="1" applyProtection="1">
      <alignment horizontal="center" vertical="center"/>
      <protection hidden="1"/>
    </xf>
    <xf numFmtId="4" fontId="17" fillId="3" borderId="14" xfId="0" applyNumberFormat="1" applyFont="1" applyFill="1" applyBorder="1" applyAlignment="1">
      <alignment horizontal="center" vertical="center"/>
    </xf>
    <xf numFmtId="174" fontId="17" fillId="4" borderId="15" xfId="0" applyNumberFormat="1" applyFont="1" applyFill="1" applyBorder="1" applyAlignment="1" applyProtection="1">
      <alignment horizontal="center" vertical="center"/>
      <protection locked="0"/>
    </xf>
    <xf numFmtId="2" fontId="17" fillId="5" borderId="7" xfId="0" applyNumberFormat="1" applyFont="1" applyFill="1" applyBorder="1" applyAlignment="1" applyProtection="1">
      <alignment horizontal="center" vertical="center"/>
      <protection hidden="1"/>
    </xf>
    <xf numFmtId="174" fontId="17" fillId="5" borderId="14" xfId="0" applyNumberFormat="1" applyFont="1" applyFill="1" applyBorder="1" applyAlignment="1" applyProtection="1">
      <alignment horizontal="center" vertical="center"/>
      <protection hidden="1"/>
    </xf>
    <xf numFmtId="2" fontId="17" fillId="5" borderId="15" xfId="0" applyNumberFormat="1" applyFont="1" applyFill="1" applyBorder="1" applyAlignment="1" applyProtection="1">
      <alignment horizontal="center" vertical="center"/>
      <protection hidden="1"/>
    </xf>
    <xf numFmtId="166" fontId="25" fillId="0" borderId="0" xfId="0" applyNumberFormat="1" applyFont="1"/>
    <xf numFmtId="166" fontId="20" fillId="0" borderId="0" xfId="0" applyNumberFormat="1" applyFont="1" applyAlignment="1">
      <alignment horizontal="center"/>
    </xf>
    <xf numFmtId="0" fontId="17" fillId="2" borderId="33" xfId="0" applyFont="1" applyFill="1" applyBorder="1" applyAlignment="1">
      <alignment horizontal="center" vertical="center" wrapText="1"/>
    </xf>
    <xf numFmtId="3" fontId="17" fillId="14" borderId="7" xfId="0" applyNumberFormat="1" applyFont="1" applyFill="1" applyBorder="1" applyAlignment="1" applyProtection="1">
      <alignment horizontal="center"/>
      <protection locked="0"/>
    </xf>
    <xf numFmtId="3" fontId="17" fillId="14" borderId="14" xfId="0" applyNumberFormat="1" applyFont="1" applyFill="1" applyBorder="1" applyAlignment="1" applyProtection="1">
      <alignment horizontal="center"/>
      <protection locked="0"/>
    </xf>
    <xf numFmtId="2" fontId="17" fillId="14" borderId="15" xfId="0" applyNumberFormat="1" applyFont="1" applyFill="1" applyBorder="1" applyAlignment="1" applyProtection="1">
      <alignment horizontal="center"/>
      <protection locked="0"/>
    </xf>
    <xf numFmtId="2" fontId="17" fillId="4" borderId="26" xfId="0" applyNumberFormat="1" applyFont="1" applyFill="1" applyBorder="1" applyAlignment="1" applyProtection="1">
      <alignment horizontal="center"/>
      <protection locked="0"/>
    </xf>
    <xf numFmtId="0" fontId="17" fillId="4" borderId="15" xfId="0" applyFont="1" applyFill="1" applyBorder="1" applyAlignment="1" applyProtection="1">
      <alignment horizontal="center"/>
      <protection locked="0"/>
    </xf>
    <xf numFmtId="2" fontId="17" fillId="4" borderId="7" xfId="0" applyNumberFormat="1" applyFont="1" applyFill="1" applyBorder="1" applyAlignment="1" applyProtection="1">
      <alignment horizontal="center"/>
      <protection locked="0"/>
    </xf>
    <xf numFmtId="2" fontId="17" fillId="4" borderId="15" xfId="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20" fillId="0" borderId="0" xfId="0" applyFont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32" xfId="0" applyFont="1" applyFill="1" applyBorder="1" applyAlignment="1">
      <alignment horizontal="center"/>
    </xf>
    <xf numFmtId="0" fontId="17" fillId="2" borderId="44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/>
    </xf>
    <xf numFmtId="3" fontId="17" fillId="5" borderId="1" xfId="0" applyNumberFormat="1" applyFont="1" applyFill="1" applyBorder="1" applyAlignment="1" applyProtection="1">
      <alignment horizontal="center"/>
      <protection hidden="1"/>
    </xf>
    <xf numFmtId="0" fontId="17" fillId="2" borderId="30" xfId="0" applyFont="1" applyFill="1" applyBorder="1" applyAlignment="1">
      <alignment horizontal="center"/>
    </xf>
    <xf numFmtId="3" fontId="17" fillId="19" borderId="2" xfId="0" applyNumberFormat="1" applyFont="1" applyFill="1" applyBorder="1" applyAlignment="1" applyProtection="1">
      <alignment horizontal="center"/>
      <protection locked="0"/>
    </xf>
    <xf numFmtId="4" fontId="17" fillId="5" borderId="2" xfId="0" applyNumberFormat="1" applyFont="1" applyFill="1" applyBorder="1" applyAlignment="1" applyProtection="1">
      <alignment horizontal="right"/>
      <protection hidden="1"/>
    </xf>
    <xf numFmtId="4" fontId="17" fillId="0" borderId="2" xfId="0" applyNumberFormat="1" applyFont="1" applyBorder="1" applyProtection="1">
      <protection hidden="1"/>
    </xf>
    <xf numFmtId="3" fontId="17" fillId="19" borderId="15" xfId="0" applyNumberFormat="1" applyFont="1" applyFill="1" applyBorder="1" applyAlignment="1" applyProtection="1">
      <alignment horizontal="center"/>
      <protection locked="0"/>
    </xf>
    <xf numFmtId="0" fontId="17" fillId="2" borderId="41" xfId="0" applyFont="1" applyFill="1" applyBorder="1" applyAlignment="1">
      <alignment horizontal="center"/>
    </xf>
    <xf numFmtId="3" fontId="17" fillId="5" borderId="7" xfId="0" applyNumberFormat="1" applyFont="1" applyFill="1" applyBorder="1" applyAlignment="1" applyProtection="1">
      <alignment horizontal="center"/>
      <protection hidden="1"/>
    </xf>
    <xf numFmtId="4" fontId="17" fillId="0" borderId="15" xfId="0" applyNumberFormat="1" applyFont="1" applyBorder="1" applyProtection="1">
      <protection hidden="1"/>
    </xf>
    <xf numFmtId="0" fontId="17" fillId="2" borderId="31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3" fontId="17" fillId="14" borderId="1" xfId="0" applyNumberFormat="1" applyFont="1" applyFill="1" applyBorder="1" applyAlignment="1" applyProtection="1">
      <alignment horizontal="center"/>
      <protection locked="0"/>
    </xf>
    <xf numFmtId="3" fontId="17" fillId="14" borderId="3" xfId="0" applyNumberFormat="1" applyFont="1" applyFill="1" applyBorder="1" applyAlignment="1" applyProtection="1">
      <alignment horizontal="center"/>
      <protection locked="0"/>
    </xf>
    <xf numFmtId="164" fontId="17" fillId="14" borderId="2" xfId="0" applyNumberFormat="1" applyFont="1" applyFill="1" applyBorder="1" applyAlignment="1" applyProtection="1">
      <alignment horizontal="center"/>
      <protection locked="0"/>
    </xf>
    <xf numFmtId="164" fontId="17" fillId="5" borderId="1" xfId="0" applyNumberFormat="1" applyFont="1" applyFill="1" applyBorder="1" applyAlignment="1" applyProtection="1">
      <alignment horizontal="center"/>
      <protection hidden="1"/>
    </xf>
    <xf numFmtId="165" fontId="17" fillId="5" borderId="1" xfId="4" applyNumberFormat="1" applyFont="1" applyFill="1" applyBorder="1" applyProtection="1">
      <protection hidden="1"/>
    </xf>
    <xf numFmtId="164" fontId="17" fillId="5" borderId="2" xfId="4" applyNumberFormat="1" applyFont="1" applyFill="1" applyBorder="1" applyProtection="1">
      <protection hidden="1"/>
    </xf>
    <xf numFmtId="164" fontId="17" fillId="4" borderId="1" xfId="0" applyNumberFormat="1" applyFont="1" applyFill="1" applyBorder="1" applyAlignment="1" applyProtection="1">
      <alignment horizontal="center"/>
      <protection locked="0"/>
    </xf>
    <xf numFmtId="1" fontId="17" fillId="4" borderId="3" xfId="0" applyNumberFormat="1" applyFont="1" applyFill="1" applyBorder="1" applyAlignment="1" applyProtection="1">
      <alignment horizontal="center"/>
      <protection locked="0"/>
    </xf>
    <xf numFmtId="0" fontId="17" fillId="2" borderId="15" xfId="0" applyFont="1" applyFill="1" applyBorder="1" applyAlignment="1">
      <alignment horizontal="center" vertical="center" wrapText="1"/>
    </xf>
    <xf numFmtId="164" fontId="17" fillId="5" borderId="7" xfId="0" applyNumberFormat="1" applyFont="1" applyFill="1" applyBorder="1" applyAlignment="1" applyProtection="1">
      <alignment horizontal="center"/>
      <protection hidden="1"/>
    </xf>
    <xf numFmtId="165" fontId="17" fillId="5" borderId="7" xfId="4" applyNumberFormat="1" applyFont="1" applyFill="1" applyBorder="1" applyProtection="1">
      <protection hidden="1"/>
    </xf>
    <xf numFmtId="164" fontId="17" fillId="5" borderId="15" xfId="4" applyNumberFormat="1" applyFont="1" applyFill="1" applyBorder="1" applyProtection="1">
      <protection hidden="1"/>
    </xf>
    <xf numFmtId="3" fontId="17" fillId="4" borderId="1" xfId="0" applyNumberFormat="1" applyFont="1" applyFill="1" applyBorder="1" applyAlignment="1" applyProtection="1">
      <alignment horizontal="center"/>
      <protection locked="0"/>
    </xf>
    <xf numFmtId="3" fontId="18" fillId="5" borderId="7" xfId="0" applyNumberFormat="1" applyFont="1" applyFill="1" applyBorder="1" applyAlignment="1" applyProtection="1">
      <alignment horizontal="center"/>
      <protection hidden="1"/>
    </xf>
    <xf numFmtId="3" fontId="17" fillId="4" borderId="15" xfId="0" applyNumberFormat="1" applyFont="1" applyFill="1" applyBorder="1" applyAlignment="1" applyProtection="1">
      <alignment horizontal="center"/>
      <protection locked="0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2" fontId="17" fillId="4" borderId="3" xfId="0" applyNumberFormat="1" applyFont="1" applyFill="1" applyBorder="1" applyAlignment="1" applyProtection="1">
      <alignment horizontal="center"/>
      <protection locked="0"/>
    </xf>
    <xf numFmtId="2" fontId="17" fillId="5" borderId="2" xfId="0" applyNumberFormat="1" applyFont="1" applyFill="1" applyBorder="1" applyAlignment="1" applyProtection="1">
      <alignment horizontal="center"/>
      <protection hidden="1"/>
    </xf>
    <xf numFmtId="0" fontId="17" fillId="2" borderId="7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2" fontId="17" fillId="4" borderId="1" xfId="0" applyNumberFormat="1" applyFont="1" applyFill="1" applyBorder="1" applyAlignment="1" applyProtection="1">
      <alignment horizontal="center"/>
      <protection locked="0"/>
    </xf>
    <xf numFmtId="0" fontId="17" fillId="2" borderId="28" xfId="0" applyFont="1" applyFill="1" applyBorder="1" applyAlignment="1">
      <alignment horizontal="center" vertical="center" wrapText="1"/>
    </xf>
    <xf numFmtId="2" fontId="17" fillId="4" borderId="8" xfId="0" applyNumberFormat="1" applyFont="1" applyFill="1" applyBorder="1" applyAlignment="1" applyProtection="1">
      <alignment horizontal="center"/>
      <protection locked="0"/>
    </xf>
    <xf numFmtId="0" fontId="17" fillId="4" borderId="10" xfId="0" applyFont="1" applyFill="1" applyBorder="1" applyAlignment="1" applyProtection="1">
      <alignment horizontal="center"/>
      <protection locked="0"/>
    </xf>
    <xf numFmtId="2" fontId="17" fillId="4" borderId="10" xfId="0" applyNumberFormat="1" applyFont="1" applyFill="1" applyBorder="1" applyAlignment="1" applyProtection="1">
      <alignment horizontal="center"/>
      <protection locked="0"/>
    </xf>
    <xf numFmtId="0" fontId="27" fillId="2" borderId="1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170" fontId="17" fillId="4" borderId="7" xfId="3" applyNumberFormat="1" applyFont="1" applyFill="1" applyBorder="1" applyAlignment="1" applyProtection="1">
      <alignment horizontal="center"/>
      <protection locked="0"/>
    </xf>
    <xf numFmtId="179" fontId="17" fillId="5" borderId="15" xfId="3" applyNumberFormat="1" applyFont="1" applyFill="1" applyBorder="1" applyAlignment="1" applyProtection="1">
      <alignment horizontal="center"/>
      <protection hidden="1"/>
    </xf>
    <xf numFmtId="170" fontId="17" fillId="5" borderId="15" xfId="3" applyNumberFormat="1" applyFont="1" applyFill="1" applyBorder="1" applyAlignment="1" applyProtection="1">
      <alignment horizontal="center"/>
      <protection hidden="1"/>
    </xf>
    <xf numFmtId="179" fontId="17" fillId="5" borderId="32" xfId="3" applyNumberFormat="1" applyFont="1" applyFill="1" applyBorder="1" applyAlignment="1" applyProtection="1">
      <alignment horizontal="center"/>
      <protection hidden="1"/>
    </xf>
    <xf numFmtId="9" fontId="18" fillId="4" borderId="3" xfId="4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2" fontId="17" fillId="27" borderId="3" xfId="0" applyNumberFormat="1" applyFont="1" applyFill="1" applyBorder="1"/>
    <xf numFmtId="1" fontId="18" fillId="5" borderId="3" xfId="0" applyNumberFormat="1" applyFont="1" applyFill="1" applyBorder="1" applyAlignment="1">
      <alignment horizontal="center"/>
    </xf>
    <xf numFmtId="1" fontId="17" fillId="5" borderId="2" xfId="0" applyNumberFormat="1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2" fontId="17" fillId="27" borderId="14" xfId="0" applyNumberFormat="1" applyFont="1" applyFill="1" applyBorder="1"/>
    <xf numFmtId="1" fontId="18" fillId="5" borderId="14" xfId="0" applyNumberFormat="1" applyFont="1" applyFill="1" applyBorder="1" applyAlignment="1">
      <alignment horizontal="center"/>
    </xf>
    <xf numFmtId="1" fontId="17" fillId="5" borderId="15" xfId="0" applyNumberFormat="1" applyFont="1" applyFill="1" applyBorder="1" applyAlignment="1">
      <alignment horizontal="center"/>
    </xf>
    <xf numFmtId="4" fontId="17" fillId="4" borderId="3" xfId="0" applyNumberFormat="1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/>
      <protection locked="0"/>
    </xf>
    <xf numFmtId="166" fontId="17" fillId="5" borderId="3" xfId="0" applyNumberFormat="1" applyFont="1" applyFill="1" applyBorder="1" applyAlignment="1" applyProtection="1">
      <alignment horizontal="center"/>
      <protection hidden="1"/>
    </xf>
    <xf numFmtId="172" fontId="17" fillId="5" borderId="3" xfId="0" applyNumberFormat="1" applyFont="1" applyFill="1" applyBorder="1" applyAlignment="1" applyProtection="1">
      <alignment horizontal="center"/>
      <protection hidden="1"/>
    </xf>
    <xf numFmtId="167" fontId="17" fillId="5" borderId="2" xfId="0" applyNumberFormat="1" applyFont="1" applyFill="1" applyBorder="1" applyAlignment="1" applyProtection="1">
      <alignment horizontal="center"/>
      <protection hidden="1"/>
    </xf>
    <xf numFmtId="167" fontId="17" fillId="5" borderId="3" xfId="0" applyNumberFormat="1" applyFont="1" applyFill="1" applyBorder="1" applyAlignment="1" applyProtection="1">
      <alignment horizontal="center"/>
      <protection hidden="1"/>
    </xf>
    <xf numFmtId="0" fontId="17" fillId="2" borderId="3" xfId="0" applyFont="1" applyFill="1" applyBorder="1"/>
    <xf numFmtId="0" fontId="17" fillId="2" borderId="2" xfId="0" applyFont="1" applyFill="1" applyBorder="1"/>
    <xf numFmtId="0" fontId="17" fillId="5" borderId="14" xfId="0" applyFont="1" applyFill="1" applyBorder="1" applyAlignment="1" applyProtection="1">
      <alignment horizontal="center"/>
      <protection hidden="1"/>
    </xf>
    <xf numFmtId="0" fontId="17" fillId="2" borderId="14" xfId="0" applyFont="1" applyFill="1" applyBorder="1"/>
    <xf numFmtId="0" fontId="17" fillId="2" borderId="15" xfId="0" applyFont="1" applyFill="1" applyBorder="1"/>
    <xf numFmtId="0" fontId="17" fillId="3" borderId="2" xfId="0" applyFont="1" applyFill="1" applyBorder="1" applyAlignment="1">
      <alignment horizontal="center"/>
    </xf>
    <xf numFmtId="0" fontId="17" fillId="0" borderId="0" xfId="0" applyFont="1" applyFill="1" applyBorder="1" applyAlignment="1"/>
    <xf numFmtId="9" fontId="17" fillId="0" borderId="0" xfId="0" applyNumberFormat="1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1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169" fontId="17" fillId="0" borderId="0" xfId="0" applyNumberFormat="1" applyFont="1"/>
    <xf numFmtId="0" fontId="17" fillId="2" borderId="1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3" fontId="17" fillId="5" borderId="14" xfId="0" applyNumberFormat="1" applyFont="1" applyFill="1" applyBorder="1" applyAlignment="1" applyProtection="1">
      <alignment horizontal="center"/>
      <protection hidden="1"/>
    </xf>
    <xf numFmtId="0" fontId="17" fillId="2" borderId="16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4" borderId="4" xfId="0" applyFont="1" applyFill="1" applyBorder="1" applyAlignment="1" applyProtection="1">
      <alignment horizontal="center"/>
      <protection locked="0"/>
    </xf>
    <xf numFmtId="3" fontId="17" fillId="5" borderId="6" xfId="0" applyNumberFormat="1" applyFont="1" applyFill="1" applyBorder="1" applyAlignment="1" applyProtection="1">
      <alignment horizontal="center"/>
      <protection hidden="1"/>
    </xf>
    <xf numFmtId="0" fontId="18" fillId="4" borderId="11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1" fontId="18" fillId="2" borderId="8" xfId="0" applyNumberFormat="1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1" fontId="17" fillId="5" borderId="3" xfId="0" applyNumberFormat="1" applyFont="1" applyFill="1" applyBorder="1" applyAlignment="1">
      <alignment horizontal="center"/>
    </xf>
    <xf numFmtId="0" fontId="18" fillId="2" borderId="30" xfId="0" applyFont="1" applyFill="1" applyBorder="1" applyAlignment="1">
      <alignment horizontal="left"/>
    </xf>
    <xf numFmtId="0" fontId="17" fillId="5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13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1" fontId="17" fillId="5" borderId="39" xfId="0" applyNumberFormat="1" applyFont="1" applyFill="1" applyBorder="1" applyAlignment="1">
      <alignment horizontal="center"/>
    </xf>
    <xf numFmtId="1" fontId="17" fillId="18" borderId="3" xfId="0" applyNumberFormat="1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13" borderId="2" xfId="0" applyFont="1" applyFill="1" applyBorder="1" applyAlignment="1">
      <alignment horizontal="center"/>
    </xf>
    <xf numFmtId="1" fontId="17" fillId="7" borderId="1" xfId="0" applyNumberFormat="1" applyFont="1" applyFill="1" applyBorder="1" applyAlignment="1">
      <alignment horizontal="center"/>
    </xf>
    <xf numFmtId="0" fontId="18" fillId="2" borderId="31" xfId="0" applyFont="1" applyFill="1" applyBorder="1" applyAlignment="1">
      <alignment horizontal="left"/>
    </xf>
    <xf numFmtId="0" fontId="17" fillId="5" borderId="7" xfId="0" applyFont="1" applyFill="1" applyBorder="1" applyAlignment="1">
      <alignment horizontal="center"/>
    </xf>
    <xf numFmtId="1" fontId="17" fillId="5" borderId="14" xfId="0" applyNumberFormat="1" applyFont="1" applyFill="1" applyBorder="1" applyAlignment="1">
      <alignment horizontal="center"/>
    </xf>
    <xf numFmtId="0" fontId="17" fillId="5" borderId="14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1" fontId="17" fillId="7" borderId="7" xfId="0" applyNumberFormat="1" applyFont="1" applyFill="1" applyBorder="1" applyAlignment="1">
      <alignment horizontal="center"/>
    </xf>
    <xf numFmtId="1" fontId="17" fillId="5" borderId="41" xfId="0" applyNumberFormat="1" applyFont="1" applyFill="1" applyBorder="1" applyAlignment="1">
      <alignment horizontal="center"/>
    </xf>
    <xf numFmtId="0" fontId="18" fillId="2" borderId="23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1" fontId="18" fillId="2" borderId="12" xfId="0" applyNumberFormat="1" applyFont="1" applyFill="1" applyBorder="1" applyAlignment="1">
      <alignment horizontal="center"/>
    </xf>
    <xf numFmtId="0" fontId="17" fillId="5" borderId="25" xfId="0" applyFont="1" applyFill="1" applyBorder="1" applyAlignment="1">
      <alignment horizontal="center"/>
    </xf>
    <xf numFmtId="0" fontId="17" fillId="13" borderId="25" xfId="0" applyFont="1" applyFill="1" applyBorder="1" applyAlignment="1">
      <alignment horizontal="center"/>
    </xf>
    <xf numFmtId="1" fontId="17" fillId="13" borderId="2" xfId="0" applyNumberFormat="1" applyFont="1" applyFill="1" applyBorder="1" applyAlignment="1">
      <alignment horizontal="center"/>
    </xf>
    <xf numFmtId="0" fontId="17" fillId="5" borderId="27" xfId="0" applyFont="1" applyFill="1" applyBorder="1" applyAlignment="1">
      <alignment horizontal="center"/>
    </xf>
    <xf numFmtId="1" fontId="17" fillId="7" borderId="15" xfId="0" applyNumberFormat="1" applyFont="1" applyFill="1" applyBorder="1" applyAlignment="1">
      <alignment horizontal="center"/>
    </xf>
    <xf numFmtId="0" fontId="18" fillId="7" borderId="0" xfId="0" applyFont="1" applyFill="1" applyBorder="1"/>
    <xf numFmtId="0" fontId="18" fillId="7" borderId="0" xfId="0" applyFont="1" applyFill="1" applyBorder="1" applyAlignment="1">
      <alignment horizontal="center"/>
    </xf>
    <xf numFmtId="0" fontId="18" fillId="7" borderId="0" xfId="0" applyFont="1" applyFill="1" applyAlignment="1">
      <alignment horizontal="center"/>
    </xf>
    <xf numFmtId="1" fontId="28" fillId="0" borderId="0" xfId="0" applyNumberFormat="1" applyFont="1" applyFill="1" applyBorder="1" applyAlignment="1" applyProtection="1">
      <alignment horizontal="right"/>
      <protection hidden="1"/>
    </xf>
    <xf numFmtId="1" fontId="17" fillId="18" borderId="15" xfId="0" applyNumberFormat="1" applyFont="1" applyFill="1" applyBorder="1" applyAlignment="1">
      <alignment horizontal="center"/>
    </xf>
    <xf numFmtId="0" fontId="18" fillId="2" borderId="16" xfId="0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/>
    </xf>
    <xf numFmtId="9" fontId="17" fillId="4" borderId="3" xfId="4" applyNumberFormat="1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1" fontId="17" fillId="5" borderId="12" xfId="0" applyNumberFormat="1" applyFont="1" applyFill="1" applyBorder="1" applyAlignment="1">
      <alignment horizontal="center"/>
    </xf>
    <xf numFmtId="0" fontId="17" fillId="4" borderId="32" xfId="0" applyFont="1" applyFill="1" applyBorder="1" applyAlignment="1">
      <alignment horizontal="center"/>
    </xf>
    <xf numFmtId="3" fontId="17" fillId="5" borderId="3" xfId="0" applyNumberFormat="1" applyFont="1" applyFill="1" applyBorder="1" applyAlignment="1" applyProtection="1">
      <alignment horizontal="center"/>
      <protection hidden="1"/>
    </xf>
    <xf numFmtId="1" fontId="17" fillId="5" borderId="7" xfId="0" applyNumberFormat="1" applyFont="1" applyFill="1" applyBorder="1" applyAlignment="1">
      <alignment horizontal="center"/>
    </xf>
    <xf numFmtId="0" fontId="17" fillId="3" borderId="14" xfId="2" applyNumberFormat="1" applyFont="1" applyFill="1" applyBorder="1" applyAlignment="1" applyProtection="1">
      <alignment horizontal="center"/>
      <protection locked="0"/>
    </xf>
    <xf numFmtId="0" fontId="17" fillId="4" borderId="15" xfId="0" applyFont="1" applyFill="1" applyBorder="1" applyAlignment="1">
      <alignment horizontal="center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>
      <alignment horizontal="center"/>
    </xf>
    <xf numFmtId="9" fontId="17" fillId="4" borderId="13" xfId="4" applyFont="1" applyFill="1" applyBorder="1" applyAlignment="1" applyProtection="1">
      <alignment horizontal="center"/>
      <protection locked="0"/>
    </xf>
    <xf numFmtId="9" fontId="17" fillId="4" borderId="12" xfId="4" applyNumberFormat="1" applyFont="1" applyFill="1" applyBorder="1" applyAlignment="1" applyProtection="1">
      <alignment horizontal="center"/>
      <protection locked="0"/>
    </xf>
    <xf numFmtId="0" fontId="17" fillId="4" borderId="22" xfId="0" applyFont="1" applyFill="1" applyBorder="1" applyAlignment="1" applyProtection="1">
      <alignment horizontal="center"/>
      <protection locked="0"/>
    </xf>
    <xf numFmtId="3" fontId="17" fillId="5" borderId="22" xfId="0" applyNumberFormat="1" applyFont="1" applyFill="1" applyBorder="1" applyAlignment="1" applyProtection="1">
      <alignment horizontal="center"/>
      <protection hidden="1"/>
    </xf>
    <xf numFmtId="3" fontId="17" fillId="5" borderId="21" xfId="0" applyNumberFormat="1" applyFont="1" applyFill="1" applyBorder="1" applyAlignment="1" applyProtection="1">
      <alignment horizontal="center"/>
      <protection hidden="1"/>
    </xf>
    <xf numFmtId="9" fontId="17" fillId="0" borderId="0" xfId="0" applyNumberFormat="1" applyFont="1" applyFill="1" applyBorder="1" applyAlignment="1" applyProtection="1">
      <alignment horizontal="center"/>
      <protection locked="0"/>
    </xf>
    <xf numFmtId="9" fontId="17" fillId="3" borderId="7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2" borderId="11" xfId="0" applyFont="1" applyFill="1" applyBorder="1" applyAlignment="1" applyProtection="1">
      <alignment horizontal="center"/>
      <protection locked="0"/>
    </xf>
    <xf numFmtId="0" fontId="18" fillId="2" borderId="13" xfId="0" applyFont="1" applyFill="1" applyBorder="1" applyAlignment="1" applyProtection="1">
      <alignment horizontal="center"/>
      <protection locked="0"/>
    </xf>
    <xf numFmtId="0" fontId="18" fillId="2" borderId="12" xfId="0" applyFont="1" applyFill="1" applyBorder="1" applyAlignment="1" applyProtection="1">
      <alignment horizontal="center"/>
      <protection locked="0"/>
    </xf>
    <xf numFmtId="3" fontId="17" fillId="0" borderId="0" xfId="0" applyNumberFormat="1" applyFont="1" applyFill="1" applyBorder="1" applyAlignment="1" applyProtection="1">
      <alignment horizontal="center"/>
      <protection hidden="1"/>
    </xf>
    <xf numFmtId="0" fontId="18" fillId="4" borderId="5" xfId="0" applyFont="1" applyFill="1" applyBorder="1" applyProtection="1">
      <protection locked="0"/>
    </xf>
    <xf numFmtId="0" fontId="18" fillId="2" borderId="5" xfId="0" applyFont="1" applyFill="1" applyBorder="1" applyAlignment="1">
      <alignment horizontal="center"/>
    </xf>
    <xf numFmtId="0" fontId="18" fillId="4" borderId="6" xfId="0" applyFont="1" applyFill="1" applyBorder="1" applyProtection="1">
      <protection locked="0"/>
    </xf>
    <xf numFmtId="2" fontId="17" fillId="3" borderId="11" xfId="0" applyNumberFormat="1" applyFont="1" applyFill="1" applyBorder="1"/>
    <xf numFmtId="2" fontId="17" fillId="5" borderId="13" xfId="0" applyNumberFormat="1" applyFont="1" applyFill="1" applyBorder="1" applyProtection="1">
      <protection hidden="1"/>
    </xf>
    <xf numFmtId="167" fontId="17" fillId="3" borderId="13" xfId="0" applyNumberFormat="1" applyFont="1" applyFill="1" applyBorder="1"/>
    <xf numFmtId="2" fontId="17" fillId="5" borderId="12" xfId="0" applyNumberFormat="1" applyFont="1" applyFill="1" applyBorder="1" applyProtection="1">
      <protection hidden="1"/>
    </xf>
    <xf numFmtId="2" fontId="17" fillId="3" borderId="1" xfId="0" applyNumberFormat="1" applyFont="1" applyFill="1" applyBorder="1"/>
    <xf numFmtId="2" fontId="17" fillId="5" borderId="9" xfId="0" applyNumberFormat="1" applyFont="1" applyFill="1" applyBorder="1" applyProtection="1">
      <protection hidden="1"/>
    </xf>
    <xf numFmtId="167" fontId="17" fillId="3" borderId="3" xfId="0" applyNumberFormat="1" applyFont="1" applyFill="1" applyBorder="1"/>
    <xf numFmtId="2" fontId="17" fillId="5" borderId="10" xfId="0" applyNumberFormat="1" applyFont="1" applyFill="1" applyBorder="1" applyProtection="1">
      <protection hidden="1"/>
    </xf>
    <xf numFmtId="2" fontId="17" fillId="3" borderId="7" xfId="0" applyNumberFormat="1" applyFont="1" applyFill="1" applyBorder="1"/>
    <xf numFmtId="2" fontId="17" fillId="5" borderId="45" xfId="0" applyNumberFormat="1" applyFont="1" applyFill="1" applyBorder="1" applyProtection="1">
      <protection hidden="1"/>
    </xf>
    <xf numFmtId="167" fontId="17" fillId="3" borderId="14" xfId="0" applyNumberFormat="1" applyFont="1" applyFill="1" applyBorder="1"/>
    <xf numFmtId="2" fontId="17" fillId="5" borderId="46" xfId="0" applyNumberFormat="1" applyFont="1" applyFill="1" applyBorder="1" applyProtection="1">
      <protection hidden="1"/>
    </xf>
    <xf numFmtId="0" fontId="17" fillId="0" borderId="0" xfId="0" applyFont="1" applyFill="1" applyBorder="1"/>
    <xf numFmtId="0" fontId="17" fillId="2" borderId="8" xfId="0" applyFont="1" applyFill="1" applyBorder="1"/>
    <xf numFmtId="0" fontId="17" fillId="4" borderId="9" xfId="0" applyFont="1" applyFill="1" applyBorder="1"/>
    <xf numFmtId="0" fontId="17" fillId="27" borderId="19" xfId="0" applyFont="1" applyFill="1" applyBorder="1"/>
    <xf numFmtId="0" fontId="17" fillId="2" borderId="9" xfId="0" applyFont="1" applyFill="1" applyBorder="1"/>
    <xf numFmtId="0" fontId="17" fillId="2" borderId="10" xfId="0" applyFont="1" applyFill="1" applyBorder="1"/>
    <xf numFmtId="0" fontId="17" fillId="2" borderId="1" xfId="0" applyFont="1" applyFill="1" applyBorder="1"/>
    <xf numFmtId="0" fontId="17" fillId="4" borderId="3" xfId="0" applyFont="1" applyFill="1" applyBorder="1"/>
    <xf numFmtId="2" fontId="17" fillId="3" borderId="3" xfId="0" applyNumberFormat="1" applyFont="1" applyFill="1" applyBorder="1" applyAlignment="1">
      <alignment horizontal="center"/>
    </xf>
    <xf numFmtId="0" fontId="17" fillId="5" borderId="3" xfId="0" applyFont="1" applyFill="1" applyBorder="1"/>
    <xf numFmtId="0" fontId="17" fillId="2" borderId="20" xfId="0" applyFont="1" applyFill="1" applyBorder="1"/>
    <xf numFmtId="0" fontId="17" fillId="4" borderId="22" xfId="0" applyFont="1" applyFill="1" applyBorder="1"/>
    <xf numFmtId="0" fontId="17" fillId="27" borderId="9" xfId="0" applyFont="1" applyFill="1" applyBorder="1"/>
    <xf numFmtId="0" fontId="17" fillId="3" borderId="3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167" fontId="17" fillId="4" borderId="3" xfId="0" applyNumberFormat="1" applyFont="1" applyFill="1" applyBorder="1"/>
    <xf numFmtId="167" fontId="17" fillId="4" borderId="2" xfId="0" applyNumberFormat="1" applyFont="1" applyFill="1" applyBorder="1"/>
    <xf numFmtId="9" fontId="17" fillId="5" borderId="3" xfId="4" applyFont="1" applyFill="1" applyBorder="1"/>
    <xf numFmtId="9" fontId="17" fillId="5" borderId="2" xfId="4" applyFont="1" applyFill="1" applyBorder="1"/>
    <xf numFmtId="1" fontId="17" fillId="5" borderId="3" xfId="0" applyNumberFormat="1" applyFont="1" applyFill="1" applyBorder="1"/>
    <xf numFmtId="1" fontId="17" fillId="5" borderId="2" xfId="0" applyNumberFormat="1" applyFont="1" applyFill="1" applyBorder="1"/>
    <xf numFmtId="2" fontId="17" fillId="5" borderId="3" xfId="0" applyNumberFormat="1" applyFont="1" applyFill="1" applyBorder="1"/>
    <xf numFmtId="0" fontId="17" fillId="27" borderId="0" xfId="0" applyFont="1" applyFill="1" applyBorder="1"/>
    <xf numFmtId="0" fontId="17" fillId="27" borderId="66" xfId="0" applyFont="1" applyFill="1" applyBorder="1"/>
    <xf numFmtId="0" fontId="18" fillId="2" borderId="1" xfId="0" applyFont="1" applyFill="1" applyBorder="1"/>
    <xf numFmtId="0" fontId="18" fillId="2" borderId="7" xfId="0" applyFont="1" applyFill="1" applyBorder="1"/>
    <xf numFmtId="2" fontId="18" fillId="5" borderId="14" xfId="0" applyNumberFormat="1" applyFont="1" applyFill="1" applyBorder="1" applyAlignment="1">
      <alignment horizontal="center"/>
    </xf>
    <xf numFmtId="0" fontId="17" fillId="27" borderId="48" xfId="0" applyFont="1" applyFill="1" applyBorder="1"/>
    <xf numFmtId="0" fontId="17" fillId="27" borderId="63" xfId="0" applyFont="1" applyFill="1" applyBorder="1"/>
    <xf numFmtId="0" fontId="18" fillId="2" borderId="11" xfId="0" applyFont="1" applyFill="1" applyBorder="1"/>
    <xf numFmtId="3" fontId="17" fillId="4" borderId="13" xfId="0" applyNumberFormat="1" applyFont="1" applyFill="1" applyBorder="1"/>
    <xf numFmtId="0" fontId="18" fillId="2" borderId="13" xfId="0" applyFont="1" applyFill="1" applyBorder="1"/>
    <xf numFmtId="3" fontId="17" fillId="5" borderId="12" xfId="0" applyNumberFormat="1" applyFont="1" applyFill="1" applyBorder="1"/>
    <xf numFmtId="3" fontId="17" fillId="4" borderId="3" xfId="0" applyNumberFormat="1" applyFont="1" applyFill="1" applyBorder="1"/>
    <xf numFmtId="0" fontId="18" fillId="2" borderId="3" xfId="0" applyFont="1" applyFill="1" applyBorder="1"/>
    <xf numFmtId="3" fontId="17" fillId="5" borderId="2" xfId="0" applyNumberFormat="1" applyFont="1" applyFill="1" applyBorder="1"/>
    <xf numFmtId="4" fontId="17" fillId="4" borderId="3" xfId="0" applyNumberFormat="1" applyFont="1" applyFill="1" applyBorder="1"/>
    <xf numFmtId="0" fontId="17" fillId="18" borderId="3" xfId="0" applyFont="1" applyFill="1" applyBorder="1"/>
    <xf numFmtId="0" fontId="17" fillId="18" borderId="2" xfId="0" applyFont="1" applyFill="1" applyBorder="1"/>
    <xf numFmtId="4" fontId="17" fillId="4" borderId="14" xfId="0" applyNumberFormat="1" applyFont="1" applyFill="1" applyBorder="1"/>
    <xf numFmtId="0" fontId="18" fillId="2" borderId="14" xfId="0" applyFont="1" applyFill="1" applyBorder="1"/>
    <xf numFmtId="3" fontId="18" fillId="5" borderId="15" xfId="0" applyNumberFormat="1" applyFont="1" applyFill="1" applyBorder="1"/>
    <xf numFmtId="4" fontId="17" fillId="14" borderId="12" xfId="0" applyNumberFormat="1" applyFont="1" applyFill="1" applyBorder="1"/>
    <xf numFmtId="4" fontId="17" fillId="14" borderId="2" xfId="0" applyNumberFormat="1" applyFont="1" applyFill="1" applyBorder="1"/>
    <xf numFmtId="2" fontId="18" fillId="17" borderId="3" xfId="0" applyNumberFormat="1" applyFont="1" applyFill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10" fontId="17" fillId="0" borderId="3" xfId="4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3" xfId="0" applyNumberFormat="1" applyFont="1" applyBorder="1"/>
    <xf numFmtId="3" fontId="18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8" fillId="17" borderId="3" xfId="0" applyFont="1" applyFill="1" applyBorder="1" applyAlignment="1">
      <alignment horizontal="center"/>
    </xf>
    <xf numFmtId="14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18" fillId="26" borderId="3" xfId="0" applyFont="1" applyFill="1" applyBorder="1" applyAlignment="1">
      <alignment horizontal="center" vertical="center"/>
    </xf>
    <xf numFmtId="0" fontId="18" fillId="26" borderId="3" xfId="0" applyFont="1" applyFill="1" applyBorder="1" applyAlignment="1" applyProtection="1">
      <alignment horizontal="center" vertical="center"/>
      <protection hidden="1"/>
    </xf>
    <xf numFmtId="0" fontId="17" fillId="17" borderId="3" xfId="0" applyFont="1" applyFill="1" applyBorder="1" applyAlignment="1" applyProtection="1">
      <alignment horizontal="center" vertical="center"/>
      <protection hidden="1"/>
    </xf>
    <xf numFmtId="0" fontId="24" fillId="17" borderId="3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2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Fill="1" applyBorder="1" applyAlignment="1">
      <alignment horizontal="right" vertical="center"/>
    </xf>
    <xf numFmtId="164" fontId="17" fillId="0" borderId="3" xfId="0" applyNumberFormat="1" applyFont="1" applyFill="1" applyBorder="1" applyAlignment="1">
      <alignment horizontal="center" vertical="center"/>
    </xf>
    <xf numFmtId="167" fontId="17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  <protection hidden="1"/>
    </xf>
    <xf numFmtId="0" fontId="18" fillId="0" borderId="9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7" fillId="0" borderId="22" xfId="0" applyFont="1" applyFill="1" applyBorder="1" applyAlignment="1" applyProtection="1">
      <alignment horizontal="center" vertical="center"/>
      <protection hidden="1"/>
    </xf>
    <xf numFmtId="0" fontId="17" fillId="0" borderId="9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29" fillId="27" borderId="32" xfId="0" applyFont="1" applyFill="1" applyBorder="1" applyAlignment="1">
      <alignment horizontal="center" vertical="center"/>
    </xf>
    <xf numFmtId="0" fontId="17" fillId="22" borderId="3" xfId="0" applyFont="1" applyFill="1" applyBorder="1" applyAlignment="1">
      <alignment horizontal="left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175" fontId="30" fillId="2" borderId="30" xfId="0" applyNumberFormat="1" applyFont="1" applyFill="1" applyBorder="1" applyAlignment="1" applyProtection="1">
      <alignment horizontal="center"/>
      <protection hidden="1"/>
    </xf>
    <xf numFmtId="0" fontId="30" fillId="2" borderId="30" xfId="0" applyFont="1" applyFill="1" applyBorder="1" applyAlignment="1">
      <alignment horizontal="center"/>
    </xf>
    <xf numFmtId="0" fontId="26" fillId="2" borderId="30" xfId="0" applyFont="1" applyFill="1" applyBorder="1" applyAlignment="1" applyProtection="1">
      <alignment horizontal="center"/>
      <protection hidden="1"/>
    </xf>
    <xf numFmtId="175" fontId="26" fillId="2" borderId="30" xfId="0" applyNumberFormat="1" applyFont="1" applyFill="1" applyBorder="1" applyAlignment="1" applyProtection="1">
      <alignment horizontal="center"/>
      <protection hidden="1"/>
    </xf>
    <xf numFmtId="175" fontId="26" fillId="2" borderId="31" xfId="0" applyNumberFormat="1" applyFont="1" applyFill="1" applyBorder="1" applyAlignment="1" applyProtection="1">
      <alignment horizontal="center"/>
      <protection hidden="1"/>
    </xf>
    <xf numFmtId="175" fontId="30" fillId="2" borderId="52" xfId="0" applyNumberFormat="1" applyFont="1" applyFill="1" applyBorder="1" applyAlignment="1" applyProtection="1">
      <alignment horizontal="center"/>
      <protection hidden="1"/>
    </xf>
    <xf numFmtId="175" fontId="30" fillId="2" borderId="53" xfId="0" applyNumberFormat="1" applyFont="1" applyFill="1" applyBorder="1" applyAlignment="1" applyProtection="1">
      <alignment horizontal="center"/>
      <protection hidden="1"/>
    </xf>
    <xf numFmtId="0" fontId="30" fillId="2" borderId="53" xfId="0" applyFont="1" applyFill="1" applyBorder="1" applyAlignment="1">
      <alignment horizontal="center"/>
    </xf>
    <xf numFmtId="0" fontId="26" fillId="2" borderId="53" xfId="0" applyFont="1" applyFill="1" applyBorder="1" applyAlignment="1" applyProtection="1">
      <alignment horizontal="center"/>
      <protection hidden="1"/>
    </xf>
    <xf numFmtId="175" fontId="26" fillId="2" borderId="53" xfId="0" applyNumberFormat="1" applyFont="1" applyFill="1" applyBorder="1" applyAlignment="1" applyProtection="1">
      <alignment horizontal="center"/>
      <protection hidden="1"/>
    </xf>
    <xf numFmtId="175" fontId="26" fillId="2" borderId="54" xfId="0" applyNumberFormat="1" applyFont="1" applyFill="1" applyBorder="1" applyAlignment="1" applyProtection="1">
      <alignment horizontal="center"/>
      <protection hidden="1"/>
    </xf>
    <xf numFmtId="175" fontId="31" fillId="2" borderId="52" xfId="0" applyNumberFormat="1" applyFont="1" applyFill="1" applyBorder="1" applyAlignment="1" applyProtection="1">
      <alignment horizontal="center"/>
      <protection hidden="1"/>
    </xf>
    <xf numFmtId="175" fontId="23" fillId="2" borderId="58" xfId="0" applyNumberFormat="1" applyFont="1" applyFill="1" applyBorder="1" applyAlignment="1" applyProtection="1">
      <alignment horizontal="center"/>
      <protection hidden="1"/>
    </xf>
    <xf numFmtId="3" fontId="19" fillId="5" borderId="11" xfId="0" applyNumberFormat="1" applyFont="1" applyFill="1" applyBorder="1" applyAlignment="1" applyProtection="1">
      <alignment horizontal="center"/>
      <protection hidden="1"/>
    </xf>
    <xf numFmtId="4" fontId="20" fillId="5" borderId="12" xfId="0" applyNumberFormat="1" applyFont="1" applyFill="1" applyBorder="1" applyAlignment="1" applyProtection="1">
      <alignment horizontal="center"/>
      <protection hidden="1"/>
    </xf>
    <xf numFmtId="2" fontId="18" fillId="0" borderId="1" xfId="0" applyNumberFormat="1" applyFont="1" applyFill="1" applyBorder="1" applyAlignment="1" applyProtection="1">
      <alignment horizontal="center"/>
      <protection hidden="1"/>
    </xf>
    <xf numFmtId="2" fontId="17" fillId="0" borderId="2" xfId="0" applyNumberFormat="1" applyFont="1" applyFill="1" applyBorder="1" applyAlignment="1" applyProtection="1">
      <alignment horizontal="center"/>
      <protection hidden="1"/>
    </xf>
    <xf numFmtId="0" fontId="27" fillId="2" borderId="11" xfId="0" applyFont="1" applyFill="1" applyBorder="1" applyAlignment="1">
      <alignment horizontal="center" vertical="center"/>
    </xf>
    <xf numFmtId="165" fontId="27" fillId="2" borderId="13" xfId="4" applyNumberFormat="1" applyFont="1" applyFill="1" applyBorder="1" applyAlignment="1">
      <alignment horizontal="center"/>
    </xf>
    <xf numFmtId="165" fontId="27" fillId="2" borderId="12" xfId="4" applyNumberFormat="1" applyFont="1" applyFill="1" applyBorder="1" applyAlignment="1">
      <alignment horizontal="center"/>
    </xf>
    <xf numFmtId="165" fontId="27" fillId="2" borderId="11" xfId="4" applyNumberFormat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/>
    </xf>
    <xf numFmtId="0" fontId="29" fillId="4" borderId="5" xfId="0" applyFont="1" applyFill="1" applyBorder="1" applyAlignment="1">
      <alignment horizontal="center"/>
    </xf>
    <xf numFmtId="0" fontId="29" fillId="5" borderId="5" xfId="0" applyFont="1" applyFill="1" applyBorder="1" applyAlignment="1">
      <alignment horizontal="center"/>
    </xf>
    <xf numFmtId="0" fontId="29" fillId="6" borderId="5" xfId="0" applyFont="1" applyFill="1" applyBorder="1" applyAlignment="1">
      <alignment horizontal="center"/>
    </xf>
    <xf numFmtId="0" fontId="29" fillId="3" borderId="6" xfId="0" applyFont="1" applyFill="1" applyBorder="1" applyAlignment="1">
      <alignment horizontal="center"/>
    </xf>
    <xf numFmtId="0" fontId="27" fillId="0" borderId="0" xfId="0" applyFont="1"/>
    <xf numFmtId="0" fontId="27" fillId="0" borderId="0" xfId="0" applyFont="1" applyFill="1"/>
    <xf numFmtId="0" fontId="27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27" fillId="3" borderId="3" xfId="0" applyNumberFormat="1" applyFont="1" applyFill="1" applyBorder="1" applyAlignment="1">
      <alignment horizontal="center"/>
    </xf>
    <xf numFmtId="2" fontId="27" fillId="0" borderId="0" xfId="0" applyNumberFormat="1" applyFont="1"/>
    <xf numFmtId="0" fontId="27" fillId="3" borderId="3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3" fontId="27" fillId="2" borderId="3" xfId="0" applyNumberFormat="1" applyFont="1" applyFill="1" applyBorder="1" applyAlignment="1">
      <alignment horizontal="center" vertical="center"/>
    </xf>
    <xf numFmtId="3" fontId="27" fillId="3" borderId="3" xfId="0" applyNumberFormat="1" applyFont="1" applyFill="1" applyBorder="1" applyAlignment="1">
      <alignment horizontal="center" vertical="center"/>
    </xf>
    <xf numFmtId="3" fontId="27" fillId="3" borderId="2" xfId="0" applyNumberFormat="1" applyFont="1" applyFill="1" applyBorder="1" applyAlignment="1">
      <alignment horizontal="center" vertical="center"/>
    </xf>
    <xf numFmtId="3" fontId="27" fillId="2" borderId="2" xfId="0" applyNumberFormat="1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/>
    </xf>
    <xf numFmtId="3" fontId="27" fillId="3" borderId="25" xfId="0" applyNumberFormat="1" applyFont="1" applyFill="1" applyBorder="1" applyAlignment="1">
      <alignment horizontal="center"/>
    </xf>
    <xf numFmtId="3" fontId="27" fillId="3" borderId="2" xfId="0" applyNumberFormat="1" applyFont="1" applyFill="1" applyBorder="1" applyAlignment="1">
      <alignment horizontal="center"/>
    </xf>
    <xf numFmtId="0" fontId="27" fillId="2" borderId="20" xfId="0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/>
    </xf>
    <xf numFmtId="3" fontId="27" fillId="3" borderId="22" xfId="0" applyNumberFormat="1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3" fontId="27" fillId="2" borderId="22" xfId="0" applyNumberFormat="1" applyFont="1" applyFill="1" applyBorder="1" applyAlignment="1">
      <alignment horizontal="center" vertical="center"/>
    </xf>
    <xf numFmtId="3" fontId="27" fillId="2" borderId="21" xfId="0" applyNumberFormat="1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3" fontId="27" fillId="3" borderId="14" xfId="0" applyNumberFormat="1" applyFont="1" applyFill="1" applyBorder="1" applyAlignment="1">
      <alignment horizontal="center" vertical="center"/>
    </xf>
    <xf numFmtId="3" fontId="27" fillId="2" borderId="14" xfId="0" applyNumberFormat="1" applyFont="1" applyFill="1" applyBorder="1" applyAlignment="1">
      <alignment horizontal="center" vertical="center"/>
    </xf>
    <xf numFmtId="3" fontId="27" fillId="2" borderId="15" xfId="0" applyNumberFormat="1" applyFont="1" applyFill="1" applyBorder="1" applyAlignment="1">
      <alignment horizontal="center" vertical="center"/>
    </xf>
    <xf numFmtId="3" fontId="27" fillId="3" borderId="3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2" borderId="7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3" fontId="27" fillId="3" borderId="27" xfId="0" applyNumberFormat="1" applyFont="1" applyFill="1" applyBorder="1" applyAlignment="1">
      <alignment horizontal="center"/>
    </xf>
    <xf numFmtId="3" fontId="27" fillId="3" borderId="15" xfId="0" applyNumberFormat="1" applyFont="1" applyFill="1" applyBorder="1" applyAlignment="1">
      <alignment horizontal="center"/>
    </xf>
    <xf numFmtId="3" fontId="27" fillId="2" borderId="3" xfId="0" applyNumberFormat="1" applyFont="1" applyFill="1" applyBorder="1" applyAlignment="1">
      <alignment horizontal="center"/>
    </xf>
    <xf numFmtId="3" fontId="27" fillId="2" borderId="14" xfId="0" applyNumberFormat="1" applyFont="1" applyFill="1" applyBorder="1" applyAlignment="1">
      <alignment horizontal="center"/>
    </xf>
    <xf numFmtId="3" fontId="27" fillId="3" borderId="14" xfId="0" applyNumberFormat="1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49" fontId="27" fillId="2" borderId="12" xfId="0" applyNumberFormat="1" applyFont="1" applyFill="1" applyBorder="1" applyAlignment="1">
      <alignment horizontal="center"/>
    </xf>
    <xf numFmtId="49" fontId="27" fillId="2" borderId="13" xfId="0" applyNumberFormat="1" applyFont="1" applyFill="1" applyBorder="1" applyAlignment="1">
      <alignment horizontal="center"/>
    </xf>
    <xf numFmtId="0" fontId="27" fillId="2" borderId="29" xfId="0" applyFont="1" applyFill="1" applyBorder="1" applyAlignment="1">
      <alignment horizontal="center"/>
    </xf>
    <xf numFmtId="3" fontId="27" fillId="2" borderId="3" xfId="0" applyNumberFormat="1" applyFont="1" applyFill="1" applyBorder="1"/>
    <xf numFmtId="3" fontId="27" fillId="3" borderId="3" xfId="0" applyNumberFormat="1" applyFont="1" applyFill="1" applyBorder="1"/>
    <xf numFmtId="3" fontId="27" fillId="3" borderId="2" xfId="0" applyNumberFormat="1" applyFont="1" applyFill="1" applyBorder="1"/>
    <xf numFmtId="3" fontId="27" fillId="2" borderId="1" xfId="0" applyNumberFormat="1" applyFont="1" applyFill="1" applyBorder="1"/>
    <xf numFmtId="0" fontId="27" fillId="2" borderId="30" xfId="0" applyFont="1" applyFill="1" applyBorder="1" applyAlignment="1">
      <alignment horizontal="center"/>
    </xf>
    <xf numFmtId="0" fontId="27" fillId="3" borderId="14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3" fontId="27" fillId="3" borderId="1" xfId="0" applyNumberFormat="1" applyFont="1" applyFill="1" applyBorder="1"/>
    <xf numFmtId="176" fontId="27" fillId="2" borderId="11" xfId="0" applyNumberFormat="1" applyFont="1" applyFill="1" applyBorder="1" applyAlignment="1">
      <alignment horizontal="center"/>
    </xf>
    <xf numFmtId="1" fontId="27" fillId="2" borderId="13" xfId="0" applyNumberFormat="1" applyFont="1" applyFill="1" applyBorder="1" applyAlignment="1">
      <alignment horizontal="center"/>
    </xf>
    <xf numFmtId="1" fontId="27" fillId="2" borderId="12" xfId="0" applyNumberFormat="1" applyFont="1" applyFill="1" applyBorder="1" applyAlignment="1">
      <alignment horizontal="center"/>
    </xf>
    <xf numFmtId="3" fontId="27" fillId="2" borderId="1" xfId="0" applyNumberFormat="1" applyFont="1" applyFill="1" applyBorder="1" applyAlignment="1">
      <alignment horizontal="center"/>
    </xf>
    <xf numFmtId="175" fontId="27" fillId="3" borderId="3" xfId="0" applyNumberFormat="1" applyFont="1" applyFill="1" applyBorder="1" applyAlignment="1">
      <alignment horizontal="center"/>
    </xf>
    <xf numFmtId="175" fontId="27" fillId="3" borderId="2" xfId="0" applyNumberFormat="1" applyFont="1" applyFill="1" applyBorder="1" applyAlignment="1">
      <alignment horizontal="center"/>
    </xf>
    <xf numFmtId="3" fontId="27" fillId="3" borderId="14" xfId="0" applyNumberFormat="1" applyFont="1" applyFill="1" applyBorder="1"/>
    <xf numFmtId="3" fontId="27" fillId="3" borderId="15" xfId="0" applyNumberFormat="1" applyFont="1" applyFill="1" applyBorder="1"/>
    <xf numFmtId="3" fontId="27" fillId="3" borderId="7" xfId="0" applyNumberFormat="1" applyFont="1" applyFill="1" applyBorder="1"/>
    <xf numFmtId="0" fontId="27" fillId="2" borderId="31" xfId="0" applyFont="1" applyFill="1" applyBorder="1" applyAlignment="1">
      <alignment horizontal="center"/>
    </xf>
    <xf numFmtId="3" fontId="27" fillId="3" borderId="21" xfId="0" applyNumberFormat="1" applyFont="1" applyFill="1" applyBorder="1" applyAlignment="1">
      <alignment horizontal="center" vertical="center"/>
    </xf>
    <xf numFmtId="3" fontId="27" fillId="3" borderId="15" xfId="0" applyNumberFormat="1" applyFont="1" applyFill="1" applyBorder="1" applyAlignment="1">
      <alignment horizontal="center" vertical="center"/>
    </xf>
    <xf numFmtId="3" fontId="27" fillId="2" borderId="7" xfId="0" applyNumberFormat="1" applyFont="1" applyFill="1" applyBorder="1" applyAlignment="1">
      <alignment horizontal="center"/>
    </xf>
    <xf numFmtId="175" fontId="27" fillId="3" borderId="14" xfId="0" applyNumberFormat="1" applyFont="1" applyFill="1" applyBorder="1" applyAlignment="1">
      <alignment horizontal="center"/>
    </xf>
    <xf numFmtId="175" fontId="27" fillId="3" borderId="15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27" fillId="4" borderId="3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29" fillId="0" borderId="0" xfId="0" applyFont="1" applyFill="1" applyBorder="1" applyAlignment="1"/>
    <xf numFmtId="1" fontId="27" fillId="5" borderId="3" xfId="0" applyNumberFormat="1" applyFont="1" applyFill="1" applyBorder="1" applyAlignment="1">
      <alignment horizontal="center"/>
    </xf>
    <xf numFmtId="1" fontId="27" fillId="5" borderId="2" xfId="0" applyNumberFormat="1" applyFont="1" applyFill="1" applyBorder="1" applyAlignment="1">
      <alignment horizontal="center"/>
    </xf>
    <xf numFmtId="0" fontId="27" fillId="4" borderId="14" xfId="0" applyFont="1" applyFill="1" applyBorder="1" applyAlignment="1">
      <alignment horizontal="center"/>
    </xf>
    <xf numFmtId="1" fontId="27" fillId="5" borderId="14" xfId="0" applyNumberFormat="1" applyFont="1" applyFill="1" applyBorder="1" applyAlignment="1">
      <alignment horizontal="center"/>
    </xf>
    <xf numFmtId="1" fontId="27" fillId="5" borderId="15" xfId="0" applyNumberFormat="1" applyFont="1" applyFill="1" applyBorder="1" applyAlignment="1">
      <alignment horizontal="center"/>
    </xf>
    <xf numFmtId="41" fontId="27" fillId="0" borderId="0" xfId="3" applyFont="1" applyFill="1" applyBorder="1"/>
    <xf numFmtId="3" fontId="27" fillId="0" borderId="0" xfId="0" applyNumberFormat="1" applyFont="1" applyAlignment="1">
      <alignment horizontal="center"/>
    </xf>
    <xf numFmtId="0" fontId="17" fillId="4" borderId="3" xfId="0" applyFont="1" applyFill="1" applyBorder="1" applyAlignment="1" applyProtection="1">
      <alignment horizontal="center"/>
      <protection locked="0" hidden="1"/>
    </xf>
    <xf numFmtId="175" fontId="17" fillId="4" borderId="3" xfId="0" applyNumberFormat="1" applyFont="1" applyFill="1" applyBorder="1" applyAlignment="1" applyProtection="1">
      <alignment horizontal="center"/>
      <protection locked="0" hidden="1"/>
    </xf>
    <xf numFmtId="0" fontId="17" fillId="5" borderId="3" xfId="0" applyFont="1" applyFill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locked="0" hidden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18" borderId="9" xfId="0" applyFont="1" applyFill="1" applyBorder="1" applyAlignment="1" applyProtection="1">
      <alignment horizontal="center" vertical="center" wrapText="1"/>
      <protection hidden="1"/>
    </xf>
    <xf numFmtId="0" fontId="27" fillId="2" borderId="8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165" fontId="27" fillId="2" borderId="9" xfId="4" applyNumberFormat="1" applyFont="1" applyFill="1" applyBorder="1" applyAlignment="1">
      <alignment horizontal="center"/>
    </xf>
    <xf numFmtId="165" fontId="27" fillId="2" borderId="10" xfId="4" applyNumberFormat="1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9" fontId="27" fillId="4" borderId="9" xfId="4" applyFont="1" applyFill="1" applyBorder="1" applyAlignment="1">
      <alignment horizontal="center"/>
    </xf>
    <xf numFmtId="0" fontId="29" fillId="18" borderId="8" xfId="0" applyFont="1" applyFill="1" applyBorder="1" applyAlignment="1" applyProtection="1">
      <alignment horizontal="center" vertical="center" wrapText="1"/>
      <protection hidden="1"/>
    </xf>
    <xf numFmtId="0" fontId="27" fillId="18" borderId="3" xfId="0" applyFont="1" applyFill="1" applyBorder="1" applyAlignment="1">
      <alignment horizontal="center" vertical="center" wrapText="1"/>
    </xf>
    <xf numFmtId="0" fontId="27" fillId="18" borderId="2" xfId="0" applyFont="1" applyFill="1" applyBorder="1" applyAlignment="1">
      <alignment horizontal="center" vertical="center" wrapText="1"/>
    </xf>
    <xf numFmtId="0" fontId="27" fillId="27" borderId="1" xfId="0" applyFont="1" applyFill="1" applyBorder="1" applyAlignment="1">
      <alignment horizontal="center"/>
    </xf>
    <xf numFmtId="0" fontId="27" fillId="27" borderId="3" xfId="0" applyFont="1" applyFill="1" applyBorder="1" applyAlignment="1">
      <alignment horizontal="center" vertical="center"/>
    </xf>
    <xf numFmtId="0" fontId="27" fillId="27" borderId="2" xfId="0" applyFont="1" applyFill="1" applyBorder="1" applyAlignment="1">
      <alignment horizontal="center" vertical="center"/>
    </xf>
    <xf numFmtId="0" fontId="27" fillId="27" borderId="7" xfId="0" applyFont="1" applyFill="1" applyBorder="1" applyAlignment="1">
      <alignment horizontal="center"/>
    </xf>
    <xf numFmtId="0" fontId="27" fillId="27" borderId="14" xfId="0" applyFont="1" applyFill="1" applyBorder="1" applyAlignment="1">
      <alignment horizontal="center" vertical="center"/>
    </xf>
    <xf numFmtId="0" fontId="27" fillId="27" borderId="15" xfId="0" applyFont="1" applyFill="1" applyBorder="1" applyAlignment="1">
      <alignment horizontal="center" vertical="center"/>
    </xf>
    <xf numFmtId="0" fontId="27" fillId="27" borderId="1" xfId="0" applyFont="1" applyFill="1" applyBorder="1" applyAlignment="1" applyProtection="1">
      <alignment horizontal="center" vertical="center"/>
      <protection hidden="1"/>
    </xf>
    <xf numFmtId="2" fontId="27" fillId="27" borderId="3" xfId="0" applyNumberFormat="1" applyFont="1" applyFill="1" applyBorder="1" applyAlignment="1" applyProtection="1">
      <alignment horizontal="center" vertical="center"/>
      <protection hidden="1"/>
    </xf>
    <xf numFmtId="0" fontId="27" fillId="27" borderId="7" xfId="0" applyFont="1" applyFill="1" applyBorder="1" applyAlignment="1" applyProtection="1">
      <alignment horizontal="center" vertical="center"/>
      <protection hidden="1"/>
    </xf>
    <xf numFmtId="2" fontId="27" fillId="27" borderId="14" xfId="0" applyNumberFormat="1" applyFont="1" applyFill="1" applyBorder="1" applyAlignment="1" applyProtection="1">
      <alignment horizontal="center" vertical="center"/>
      <protection hidden="1"/>
    </xf>
    <xf numFmtId="3" fontId="27" fillId="27" borderId="3" xfId="0" applyNumberFormat="1" applyFont="1" applyFill="1" applyBorder="1" applyAlignment="1">
      <alignment horizontal="center"/>
    </xf>
    <xf numFmtId="3" fontId="27" fillId="27" borderId="2" xfId="0" applyNumberFormat="1" applyFont="1" applyFill="1" applyBorder="1" applyAlignment="1">
      <alignment horizontal="center"/>
    </xf>
    <xf numFmtId="3" fontId="27" fillId="27" borderId="1" xfId="0" applyNumberFormat="1" applyFont="1" applyFill="1" applyBorder="1" applyAlignment="1">
      <alignment horizontal="center"/>
    </xf>
    <xf numFmtId="3" fontId="27" fillId="27" borderId="14" xfId="0" applyNumberFormat="1" applyFont="1" applyFill="1" applyBorder="1" applyAlignment="1">
      <alignment horizontal="center"/>
    </xf>
    <xf numFmtId="3" fontId="27" fillId="27" borderId="15" xfId="0" applyNumberFormat="1" applyFont="1" applyFill="1" applyBorder="1" applyAlignment="1">
      <alignment horizontal="center"/>
    </xf>
    <xf numFmtId="3" fontId="27" fillId="27" borderId="7" xfId="0" applyNumberFormat="1" applyFont="1" applyFill="1" applyBorder="1" applyAlignment="1">
      <alignment horizontal="center"/>
    </xf>
    <xf numFmtId="1" fontId="17" fillId="17" borderId="3" xfId="0" applyNumberFormat="1" applyFont="1" applyFill="1" applyBorder="1" applyAlignment="1">
      <alignment horizontal="center" vertical="center"/>
    </xf>
    <xf numFmtId="1" fontId="17" fillId="0" borderId="3" xfId="0" applyNumberFormat="1" applyFont="1" applyFill="1" applyBorder="1" applyAlignment="1">
      <alignment horizontal="center" vertical="center"/>
    </xf>
    <xf numFmtId="1" fontId="17" fillId="21" borderId="3" xfId="0" applyNumberFormat="1" applyFont="1" applyFill="1" applyBorder="1" applyAlignment="1">
      <alignment horizontal="center" vertical="center"/>
    </xf>
    <xf numFmtId="1" fontId="17" fillId="23" borderId="3" xfId="0" applyNumberFormat="1" applyFont="1" applyFill="1" applyBorder="1" applyAlignment="1">
      <alignment horizontal="center" vertical="center"/>
    </xf>
    <xf numFmtId="1" fontId="17" fillId="22" borderId="3" xfId="0" applyNumberFormat="1" applyFont="1" applyFill="1" applyBorder="1" applyAlignment="1">
      <alignment horizontal="center" vertical="center"/>
    </xf>
    <xf numFmtId="1" fontId="17" fillId="24" borderId="3" xfId="0" applyNumberFormat="1" applyFont="1" applyFill="1" applyBorder="1" applyAlignment="1">
      <alignment horizontal="center" vertical="center"/>
    </xf>
    <xf numFmtId="1" fontId="17" fillId="25" borderId="3" xfId="0" applyNumberFormat="1" applyFont="1" applyFill="1" applyBorder="1" applyAlignment="1">
      <alignment horizontal="center" vertical="center"/>
    </xf>
    <xf numFmtId="2" fontId="17" fillId="14" borderId="14" xfId="0" applyNumberFormat="1" applyFont="1" applyFill="1" applyBorder="1" applyAlignment="1" applyProtection="1">
      <alignment horizontal="center"/>
      <protection locked="0"/>
    </xf>
    <xf numFmtId="0" fontId="9" fillId="0" borderId="0" xfId="1" applyAlignment="1" applyProtection="1"/>
    <xf numFmtId="4" fontId="19" fillId="5" borderId="11" xfId="0" applyNumberFormat="1" applyFont="1" applyFill="1" applyBorder="1" applyAlignment="1" applyProtection="1">
      <alignment horizontal="center"/>
      <protection hidden="1"/>
    </xf>
    <xf numFmtId="4" fontId="19" fillId="5" borderId="12" xfId="0" applyNumberFormat="1" applyFont="1" applyFill="1" applyBorder="1" applyAlignment="1" applyProtection="1">
      <alignment horizontal="center"/>
      <protection hidden="1"/>
    </xf>
    <xf numFmtId="2" fontId="18" fillId="0" borderId="2" xfId="0" applyNumberFormat="1" applyFont="1" applyFill="1" applyBorder="1" applyAlignment="1" applyProtection="1">
      <alignment horizontal="center"/>
      <protection hidden="1"/>
    </xf>
    <xf numFmtId="1" fontId="18" fillId="5" borderId="2" xfId="0" applyNumberFormat="1" applyFont="1" applyFill="1" applyBorder="1" applyAlignment="1" applyProtection="1">
      <alignment horizontal="center"/>
      <protection hidden="1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3" xfId="0" applyFont="1" applyFill="1" applyBorder="1" applyAlignment="1" applyProtection="1">
      <alignment horizontal="center"/>
      <protection locked="0"/>
    </xf>
    <xf numFmtId="1" fontId="17" fillId="4" borderId="7" xfId="0" applyNumberFormat="1" applyFont="1" applyFill="1" applyBorder="1" applyAlignment="1" applyProtection="1">
      <alignment horizontal="center"/>
      <protection locked="0"/>
    </xf>
    <xf numFmtId="0" fontId="17" fillId="18" borderId="14" xfId="0" applyFont="1" applyFill="1" applyBorder="1" applyAlignment="1" applyProtection="1">
      <alignment horizontal="center"/>
      <protection locked="0"/>
    </xf>
    <xf numFmtId="2" fontId="17" fillId="18" borderId="14" xfId="0" applyNumberFormat="1" applyFont="1" applyFill="1" applyBorder="1" applyAlignment="1" applyProtection="1">
      <alignment horizontal="center"/>
      <protection locked="0"/>
    </xf>
    <xf numFmtId="0" fontId="17" fillId="28" borderId="57" xfId="0" applyFont="1" applyFill="1" applyBorder="1"/>
    <xf numFmtId="0" fontId="17" fillId="28" borderId="0" xfId="0" applyFont="1" applyFill="1" applyBorder="1"/>
    <xf numFmtId="0" fontId="17" fillId="28" borderId="48" xfId="0" applyFont="1" applyFill="1" applyBorder="1"/>
    <xf numFmtId="0" fontId="19" fillId="28" borderId="0" xfId="0" applyFont="1" applyFill="1" applyBorder="1" applyAlignment="1">
      <alignment horizontal="center"/>
    </xf>
    <xf numFmtId="0" fontId="17" fillId="28" borderId="0" xfId="0" applyFont="1" applyFill="1" applyBorder="1" applyAlignment="1" applyProtection="1">
      <alignment horizontal="center"/>
      <protection locked="0"/>
    </xf>
    <xf numFmtId="0" fontId="19" fillId="28" borderId="48" xfId="0" applyFont="1" applyFill="1" applyBorder="1" applyAlignment="1">
      <alignment horizontal="center"/>
    </xf>
    <xf numFmtId="0" fontId="17" fillId="28" borderId="48" xfId="0" applyFont="1" applyFill="1" applyBorder="1" applyAlignment="1" applyProtection="1">
      <alignment horizontal="center"/>
      <protection locked="0"/>
    </xf>
    <xf numFmtId="0" fontId="20" fillId="28" borderId="57" xfId="0" applyFont="1" applyFill="1" applyBorder="1" applyAlignment="1">
      <alignment horizontal="center"/>
    </xf>
    <xf numFmtId="0" fontId="20" fillId="28" borderId="0" xfId="0" applyFont="1" applyFill="1" applyBorder="1" applyAlignment="1">
      <alignment horizontal="center"/>
    </xf>
    <xf numFmtId="0" fontId="17" fillId="28" borderId="0" xfId="0" applyFont="1" applyFill="1" applyBorder="1" applyAlignment="1">
      <alignment horizontal="center"/>
    </xf>
    <xf numFmtId="175" fontId="17" fillId="28" borderId="0" xfId="0" applyNumberFormat="1" applyFont="1" applyFill="1" applyBorder="1" applyAlignment="1">
      <alignment horizontal="center"/>
    </xf>
    <xf numFmtId="0" fontId="17" fillId="28" borderId="0" xfId="0" applyFont="1" applyFill="1" applyBorder="1" applyAlignment="1">
      <alignment horizontal="left"/>
    </xf>
    <xf numFmtId="0" fontId="17" fillId="28" borderId="48" xfId="0" applyFont="1" applyFill="1" applyBorder="1" applyAlignment="1">
      <alignment horizontal="left"/>
    </xf>
    <xf numFmtId="175" fontId="17" fillId="28" borderId="48" xfId="0" applyNumberFormat="1" applyFont="1" applyFill="1" applyBorder="1" applyAlignment="1">
      <alignment horizontal="center"/>
    </xf>
    <xf numFmtId="175" fontId="30" fillId="2" borderId="70" xfId="0" applyNumberFormat="1" applyFont="1" applyFill="1" applyBorder="1" applyAlignment="1" applyProtection="1">
      <alignment horizontal="center"/>
      <protection hidden="1"/>
    </xf>
    <xf numFmtId="4" fontId="19" fillId="5" borderId="67" xfId="0" applyNumberFormat="1" applyFont="1" applyFill="1" applyBorder="1" applyAlignment="1" applyProtection="1">
      <alignment horizontal="center"/>
      <protection hidden="1"/>
    </xf>
    <xf numFmtId="4" fontId="19" fillId="5" borderId="69" xfId="0" applyNumberFormat="1" applyFont="1" applyFill="1" applyBorder="1" applyAlignment="1" applyProtection="1">
      <alignment horizontal="center"/>
      <protection hidden="1"/>
    </xf>
    <xf numFmtId="175" fontId="30" fillId="2" borderId="71" xfId="0" applyNumberFormat="1" applyFont="1" applyFill="1" applyBorder="1" applyAlignment="1" applyProtection="1">
      <alignment horizontal="center"/>
      <protection hidden="1"/>
    </xf>
    <xf numFmtId="1" fontId="18" fillId="5" borderId="67" xfId="0" applyNumberFormat="1" applyFont="1" applyFill="1" applyBorder="1" applyAlignment="1" applyProtection="1">
      <alignment horizontal="center"/>
      <protection hidden="1"/>
    </xf>
    <xf numFmtId="1" fontId="17" fillId="5" borderId="69" xfId="0" applyNumberFormat="1" applyFont="1" applyFill="1" applyBorder="1" applyAlignment="1" applyProtection="1">
      <alignment horizontal="center"/>
      <protection hidden="1"/>
    </xf>
    <xf numFmtId="1" fontId="18" fillId="5" borderId="68" xfId="0" applyNumberFormat="1" applyFont="1" applyFill="1" applyBorder="1" applyAlignment="1" applyProtection="1">
      <alignment horizontal="center"/>
      <protection hidden="1"/>
    </xf>
    <xf numFmtId="4" fontId="18" fillId="5" borderId="2" xfId="0" applyNumberFormat="1" applyFont="1" applyFill="1" applyBorder="1" applyAlignment="1" applyProtection="1">
      <alignment horizontal="center"/>
      <protection hidden="1"/>
    </xf>
    <xf numFmtId="0" fontId="17" fillId="25" borderId="3" xfId="0" applyFont="1" applyFill="1" applyBorder="1" applyAlignment="1">
      <alignment horizontal="center" vertical="center"/>
    </xf>
    <xf numFmtId="0" fontId="18" fillId="25" borderId="1" xfId="0" applyFont="1" applyFill="1" applyBorder="1" applyAlignment="1">
      <alignment horizontal="left" vertical="center"/>
    </xf>
    <xf numFmtId="0" fontId="18" fillId="25" borderId="7" xfId="0" applyFont="1" applyFill="1" applyBorder="1" applyAlignment="1">
      <alignment horizontal="left" vertical="center"/>
    </xf>
    <xf numFmtId="0" fontId="18" fillId="21" borderId="1" xfId="0" applyFont="1" applyFill="1" applyBorder="1" applyAlignment="1">
      <alignment horizontal="left" vertical="center"/>
    </xf>
    <xf numFmtId="0" fontId="18" fillId="23" borderId="1" xfId="0" applyFont="1" applyFill="1" applyBorder="1" applyAlignment="1">
      <alignment horizontal="left" vertical="center"/>
    </xf>
    <xf numFmtId="0" fontId="18" fillId="22" borderId="1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 wrapText="1"/>
    </xf>
    <xf numFmtId="3" fontId="18" fillId="2" borderId="14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3" fontId="18" fillId="2" borderId="15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1" xfId="0" applyNumberFormat="1" applyFont="1" applyFill="1" applyBorder="1" applyAlignment="1">
      <alignment horizontal="center" vertical="center" wrapText="1"/>
    </xf>
    <xf numFmtId="3" fontId="18" fillId="4" borderId="7" xfId="0" applyNumberFormat="1" applyFont="1" applyFill="1" applyBorder="1" applyAlignment="1" applyProtection="1">
      <alignment horizontal="center" vertical="center"/>
      <protection locked="0"/>
    </xf>
    <xf numFmtId="4" fontId="18" fillId="4" borderId="7" xfId="0" applyNumberFormat="1" applyFont="1" applyFill="1" applyBorder="1" applyAlignment="1" applyProtection="1">
      <alignment horizontal="center" vertical="center"/>
      <protection locked="0"/>
    </xf>
    <xf numFmtId="3" fontId="17" fillId="4" borderId="9" xfId="0" applyNumberFormat="1" applyFont="1" applyFill="1" applyBorder="1" applyAlignment="1" applyProtection="1">
      <alignment horizontal="center" vertical="center"/>
      <protection locked="0"/>
    </xf>
    <xf numFmtId="3" fontId="17" fillId="5" borderId="10" xfId="0" applyNumberFormat="1" applyFont="1" applyFill="1" applyBorder="1" applyAlignment="1" applyProtection="1">
      <alignment horizontal="center" vertical="center"/>
      <protection hidden="1"/>
    </xf>
    <xf numFmtId="0" fontId="17" fillId="3" borderId="12" xfId="0" applyFont="1" applyFill="1" applyBorder="1" applyAlignment="1">
      <alignment horizontal="center"/>
    </xf>
    <xf numFmtId="0" fontId="20" fillId="2" borderId="28" xfId="0" applyFont="1" applyFill="1" applyBorder="1" applyAlignment="1">
      <alignment vertical="center"/>
    </xf>
    <xf numFmtId="0" fontId="20" fillId="2" borderId="35" xfId="0" applyFont="1" applyFill="1" applyBorder="1" applyAlignment="1">
      <alignment vertical="center"/>
    </xf>
    <xf numFmtId="0" fontId="20" fillId="2" borderId="26" xfId="0" applyFont="1" applyFill="1" applyBorder="1" applyAlignment="1">
      <alignment vertical="center"/>
    </xf>
    <xf numFmtId="0" fontId="20" fillId="2" borderId="33" xfId="0" applyFont="1" applyFill="1" applyBorder="1" applyAlignment="1">
      <alignment vertical="center"/>
    </xf>
    <xf numFmtId="0" fontId="20" fillId="2" borderId="40" xfId="0" applyFont="1" applyFill="1" applyBorder="1" applyAlignment="1">
      <alignment vertical="center"/>
    </xf>
    <xf numFmtId="0" fontId="20" fillId="2" borderId="42" xfId="0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center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3" fontId="18" fillId="4" borderId="2" xfId="0" applyNumberFormat="1" applyFont="1" applyFill="1" applyBorder="1" applyAlignment="1" applyProtection="1">
      <alignment horizontal="center" vertical="center"/>
      <protection locked="0"/>
    </xf>
    <xf numFmtId="2" fontId="17" fillId="5" borderId="10" xfId="0" applyNumberFormat="1" applyFont="1" applyFill="1" applyBorder="1" applyAlignment="1" applyProtection="1">
      <alignment horizontal="center" vertical="center"/>
      <protection hidden="1"/>
    </xf>
    <xf numFmtId="2" fontId="17" fillId="4" borderId="15" xfId="0" applyNumberFormat="1" applyFont="1" applyFill="1" applyBorder="1" applyAlignment="1" applyProtection="1">
      <alignment horizontal="center" vertical="center"/>
      <protection locked="0"/>
    </xf>
    <xf numFmtId="0" fontId="18" fillId="18" borderId="17" xfId="0" applyFont="1" applyFill="1" applyBorder="1" applyAlignment="1">
      <alignment horizontal="center" vertical="center"/>
    </xf>
    <xf numFmtId="0" fontId="18" fillId="18" borderId="17" xfId="0" applyFont="1" applyFill="1" applyBorder="1" applyAlignment="1" applyProtection="1">
      <alignment horizontal="center" vertical="center"/>
      <protection hidden="1"/>
    </xf>
    <xf numFmtId="0" fontId="18" fillId="18" borderId="18" xfId="0" applyFont="1" applyFill="1" applyBorder="1" applyAlignment="1" applyProtection="1">
      <alignment horizontal="center" vertical="center"/>
      <protection hidden="1"/>
    </xf>
    <xf numFmtId="0" fontId="17" fillId="17" borderId="13" xfId="0" applyFont="1" applyFill="1" applyBorder="1" applyAlignment="1">
      <alignment horizontal="center" vertical="center"/>
    </xf>
    <xf numFmtId="2" fontId="17" fillId="17" borderId="13" xfId="0" applyNumberFormat="1" applyFont="1" applyFill="1" applyBorder="1" applyAlignment="1">
      <alignment horizontal="center" vertical="center"/>
    </xf>
    <xf numFmtId="2" fontId="17" fillId="17" borderId="13" xfId="0" applyNumberFormat="1" applyFont="1" applyFill="1" applyBorder="1" applyAlignment="1">
      <alignment horizontal="right" vertical="center"/>
    </xf>
    <xf numFmtId="3" fontId="17" fillId="17" borderId="13" xfId="0" applyNumberFormat="1" applyFont="1" applyFill="1" applyBorder="1" applyAlignment="1" applyProtection="1">
      <alignment horizontal="right" vertical="center"/>
      <protection hidden="1"/>
    </xf>
    <xf numFmtId="164" fontId="17" fillId="17" borderId="13" xfId="0" applyNumberFormat="1" applyFont="1" applyFill="1" applyBorder="1" applyAlignment="1" applyProtection="1">
      <alignment horizontal="center" vertical="center"/>
      <protection hidden="1"/>
    </xf>
    <xf numFmtId="0" fontId="17" fillId="17" borderId="12" xfId="0" applyFont="1" applyFill="1" applyBorder="1" applyAlignment="1" applyProtection="1">
      <alignment horizontal="center" vertical="center"/>
      <protection hidden="1"/>
    </xf>
    <xf numFmtId="0" fontId="18" fillId="17" borderId="11" xfId="0" applyFont="1" applyFill="1" applyBorder="1" applyAlignment="1">
      <alignment horizontal="left" vertical="center"/>
    </xf>
    <xf numFmtId="0" fontId="18" fillId="17" borderId="1" xfId="0" applyFont="1" applyFill="1" applyBorder="1" applyAlignment="1">
      <alignment horizontal="left" vertical="center"/>
    </xf>
    <xf numFmtId="0" fontId="18" fillId="18" borderId="16" xfId="0" applyFont="1" applyFill="1" applyBorder="1" applyAlignment="1">
      <alignment horizontal="left" vertical="center"/>
    </xf>
    <xf numFmtId="3" fontId="18" fillId="5" borderId="2" xfId="4" applyNumberFormat="1" applyFont="1" applyFill="1" applyBorder="1" applyAlignment="1" applyProtection="1">
      <alignment horizontal="center" vertical="center"/>
      <protection hidden="1"/>
    </xf>
    <xf numFmtId="3" fontId="18" fillId="5" borderId="15" xfId="4" applyNumberFormat="1" applyFont="1" applyFill="1" applyBorder="1" applyAlignment="1" applyProtection="1">
      <alignment horizontal="center" vertical="center"/>
      <protection hidden="1"/>
    </xf>
    <xf numFmtId="167" fontId="17" fillId="5" borderId="2" xfId="0" applyNumberFormat="1" applyFont="1" applyFill="1" applyBorder="1" applyAlignment="1" applyProtection="1">
      <alignment horizontal="center" vertical="center"/>
      <protection hidden="1"/>
    </xf>
    <xf numFmtId="3" fontId="18" fillId="5" borderId="2" xfId="0" applyNumberFormat="1" applyFont="1" applyFill="1" applyBorder="1" applyAlignment="1" applyProtection="1">
      <alignment horizontal="center" vertical="center"/>
      <protection hidden="1"/>
    </xf>
    <xf numFmtId="0" fontId="18" fillId="2" borderId="11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1" fontId="17" fillId="5" borderId="10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3" fontId="17" fillId="4" borderId="3" xfId="0" applyNumberFormat="1" applyFont="1" applyFill="1" applyBorder="1" applyAlignment="1">
      <alignment horizontal="center" vertical="center"/>
    </xf>
    <xf numFmtId="3" fontId="17" fillId="16" borderId="2" xfId="0" applyNumberFormat="1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2" fontId="17" fillId="5" borderId="2" xfId="0" applyNumberFormat="1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center" vertical="center"/>
    </xf>
    <xf numFmtId="3" fontId="17" fillId="5" borderId="2" xfId="0" applyNumberFormat="1" applyFont="1" applyFill="1" applyBorder="1" applyAlignment="1">
      <alignment horizontal="center" vertical="center"/>
    </xf>
    <xf numFmtId="2" fontId="17" fillId="16" borderId="2" xfId="0" applyNumberFormat="1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3" fontId="17" fillId="5" borderId="3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2" fontId="17" fillId="4" borderId="3" xfId="0" applyNumberFormat="1" applyFont="1" applyFill="1" applyBorder="1" applyAlignment="1" applyProtection="1">
      <alignment horizontal="right" vertical="center"/>
      <protection locked="0" hidden="1"/>
    </xf>
    <xf numFmtId="2" fontId="17" fillId="5" borderId="3" xfId="0" applyNumberFormat="1" applyFont="1" applyFill="1" applyBorder="1" applyAlignment="1" applyProtection="1">
      <alignment horizontal="right" vertical="center"/>
      <protection hidden="1"/>
    </xf>
    <xf numFmtId="0" fontId="18" fillId="2" borderId="4" xfId="0" applyFont="1" applyFill="1" applyBorder="1" applyAlignment="1">
      <alignment horizontal="center"/>
    </xf>
    <xf numFmtId="0" fontId="18" fillId="0" borderId="0" xfId="0" applyFont="1"/>
    <xf numFmtId="0" fontId="18" fillId="2" borderId="11" xfId="0" applyFont="1" applyFill="1" applyBorder="1" applyAlignment="1">
      <alignment horizontal="left" vertical="center" wrapText="1"/>
    </xf>
    <xf numFmtId="2" fontId="17" fillId="4" borderId="13" xfId="0" applyNumberFormat="1" applyFont="1" applyFill="1" applyBorder="1" applyAlignment="1" applyProtection="1">
      <alignment horizontal="right" vertical="center"/>
      <protection locked="0" hidden="1"/>
    </xf>
    <xf numFmtId="2" fontId="17" fillId="5" borderId="13" xfId="0" applyNumberFormat="1" applyFont="1" applyFill="1" applyBorder="1" applyAlignment="1" applyProtection="1">
      <alignment horizontal="right" vertical="center"/>
      <protection hidden="1"/>
    </xf>
    <xf numFmtId="0" fontId="18" fillId="2" borderId="1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2" fontId="17" fillId="5" borderId="14" xfId="0" applyNumberFormat="1" applyFont="1" applyFill="1" applyBorder="1" applyAlignment="1" applyProtection="1">
      <alignment horizontal="right" vertical="center"/>
      <protection hidden="1"/>
    </xf>
    <xf numFmtId="0" fontId="18" fillId="2" borderId="1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2" fontId="17" fillId="4" borderId="14" xfId="0" applyNumberFormat="1" applyFont="1" applyFill="1" applyBorder="1" applyAlignment="1" applyProtection="1">
      <alignment horizontal="right" vertical="center"/>
      <protection locked="0" hidden="1"/>
    </xf>
    <xf numFmtId="0" fontId="18" fillId="2" borderId="15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18" borderId="11" xfId="0" applyFont="1" applyFill="1" applyBorder="1" applyAlignment="1">
      <alignment vertical="center"/>
    </xf>
    <xf numFmtId="0" fontId="33" fillId="18" borderId="1" xfId="0" applyFont="1" applyFill="1" applyBorder="1" applyAlignment="1">
      <alignment vertical="center"/>
    </xf>
    <xf numFmtId="0" fontId="33" fillId="18" borderId="7" xfId="0" applyFont="1" applyFill="1" applyBorder="1" applyAlignment="1">
      <alignment vertical="center"/>
    </xf>
    <xf numFmtId="2" fontId="17" fillId="4" borderId="13" xfId="0" applyNumberFormat="1" applyFont="1" applyFill="1" applyBorder="1" applyAlignment="1">
      <alignment horizontal="right"/>
    </xf>
    <xf numFmtId="2" fontId="17" fillId="5" borderId="12" xfId="0" applyNumberFormat="1" applyFont="1" applyFill="1" applyBorder="1" applyAlignment="1">
      <alignment horizontal="right"/>
    </xf>
    <xf numFmtId="2" fontId="17" fillId="4" borderId="3" xfId="0" applyNumberFormat="1" applyFont="1" applyFill="1" applyBorder="1" applyAlignment="1">
      <alignment horizontal="right"/>
    </xf>
    <xf numFmtId="2" fontId="17" fillId="5" borderId="3" xfId="0" applyNumberFormat="1" applyFont="1" applyFill="1" applyBorder="1" applyAlignment="1">
      <alignment horizontal="right"/>
    </xf>
    <xf numFmtId="2" fontId="17" fillId="4" borderId="2" xfId="0" applyNumberFormat="1" applyFont="1" applyFill="1" applyBorder="1" applyAlignment="1">
      <alignment horizontal="right"/>
    </xf>
    <xf numFmtId="174" fontId="17" fillId="4" borderId="3" xfId="0" applyNumberFormat="1" applyFont="1" applyFill="1" applyBorder="1" applyAlignment="1">
      <alignment horizontal="right"/>
    </xf>
    <xf numFmtId="174" fontId="17" fillId="5" borderId="3" xfId="0" applyNumberFormat="1" applyFont="1" applyFill="1" applyBorder="1" applyAlignment="1">
      <alignment horizontal="right"/>
    </xf>
    <xf numFmtId="174" fontId="17" fillId="4" borderId="2" xfId="0" applyNumberFormat="1" applyFont="1" applyFill="1" applyBorder="1" applyAlignment="1">
      <alignment horizontal="right"/>
    </xf>
    <xf numFmtId="174" fontId="17" fillId="5" borderId="14" xfId="0" applyNumberFormat="1" applyFont="1" applyFill="1" applyBorder="1" applyAlignment="1">
      <alignment horizontal="right"/>
    </xf>
    <xf numFmtId="174" fontId="17" fillId="4" borderId="14" xfId="0" applyNumberFormat="1" applyFont="1" applyFill="1" applyBorder="1" applyAlignment="1">
      <alignment horizontal="right"/>
    </xf>
    <xf numFmtId="174" fontId="17" fillId="4" borderId="15" xfId="0" applyNumberFormat="1" applyFont="1" applyFill="1" applyBorder="1" applyAlignment="1">
      <alignment horizontal="right"/>
    </xf>
    <xf numFmtId="2" fontId="17" fillId="4" borderId="12" xfId="0" applyNumberFormat="1" applyFont="1" applyFill="1" applyBorder="1" applyAlignment="1">
      <alignment horizontal="right"/>
    </xf>
    <xf numFmtId="2" fontId="17" fillId="5" borderId="2" xfId="0" applyNumberFormat="1" applyFont="1" applyFill="1" applyBorder="1" applyAlignment="1">
      <alignment horizontal="right"/>
    </xf>
    <xf numFmtId="0" fontId="17" fillId="18" borderId="7" xfId="0" applyFont="1" applyFill="1" applyBorder="1" applyAlignment="1">
      <alignment vertical="center"/>
    </xf>
    <xf numFmtId="2" fontId="17" fillId="5" borderId="15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center" vertical="center"/>
    </xf>
    <xf numFmtId="49" fontId="33" fillId="27" borderId="11" xfId="0" applyNumberFormat="1" applyFont="1" applyFill="1" applyBorder="1" applyAlignment="1">
      <alignment horizontal="center" vertical="center"/>
    </xf>
    <xf numFmtId="49" fontId="17" fillId="27" borderId="13" xfId="0" applyNumberFormat="1" applyFont="1" applyFill="1" applyBorder="1" applyAlignment="1">
      <alignment horizontal="center" vertical="center"/>
    </xf>
    <xf numFmtId="0" fontId="33" fillId="27" borderId="13" xfId="0" applyFont="1" applyFill="1" applyBorder="1" applyAlignment="1">
      <alignment horizontal="center" vertical="center"/>
    </xf>
    <xf numFmtId="0" fontId="33" fillId="27" borderId="12" xfId="0" applyFont="1" applyFill="1" applyBorder="1" applyAlignment="1">
      <alignment horizontal="center" vertical="center"/>
    </xf>
    <xf numFmtId="49" fontId="33" fillId="27" borderId="1" xfId="0" applyNumberFormat="1" applyFont="1" applyFill="1" applyBorder="1" applyAlignment="1">
      <alignment horizontal="center" vertical="center"/>
    </xf>
    <xf numFmtId="49" fontId="17" fillId="27" borderId="3" xfId="0" applyNumberFormat="1" applyFont="1" applyFill="1" applyBorder="1" applyAlignment="1">
      <alignment horizontal="center" vertical="center"/>
    </xf>
    <xf numFmtId="49" fontId="33" fillId="27" borderId="3" xfId="0" applyNumberFormat="1" applyFont="1" applyFill="1" applyBorder="1" applyAlignment="1">
      <alignment horizontal="center" vertical="center"/>
    </xf>
    <xf numFmtId="0" fontId="33" fillId="27" borderId="3" xfId="0" applyFont="1" applyFill="1" applyBorder="1" applyAlignment="1">
      <alignment horizontal="center" vertical="center"/>
    </xf>
    <xf numFmtId="0" fontId="33" fillId="27" borderId="2" xfId="0" applyFont="1" applyFill="1" applyBorder="1" applyAlignment="1">
      <alignment horizontal="center" vertical="center"/>
    </xf>
    <xf numFmtId="49" fontId="17" fillId="27" borderId="1" xfId="0" applyNumberFormat="1" applyFont="1" applyFill="1" applyBorder="1" applyAlignment="1">
      <alignment horizontal="center" vertical="center"/>
    </xf>
    <xf numFmtId="49" fontId="17" fillId="27" borderId="7" xfId="0" applyNumberFormat="1" applyFont="1" applyFill="1" applyBorder="1" applyAlignment="1">
      <alignment horizontal="center" vertical="center"/>
    </xf>
    <xf numFmtId="49" fontId="17" fillId="27" borderId="14" xfId="0" applyNumberFormat="1" applyFont="1" applyFill="1" applyBorder="1" applyAlignment="1">
      <alignment horizontal="center" vertical="center"/>
    </xf>
    <xf numFmtId="49" fontId="33" fillId="27" borderId="14" xfId="0" applyNumberFormat="1" applyFont="1" applyFill="1" applyBorder="1" applyAlignment="1">
      <alignment horizontal="center" vertical="center"/>
    </xf>
    <xf numFmtId="0" fontId="33" fillId="27" borderId="14" xfId="0" applyFont="1" applyFill="1" applyBorder="1" applyAlignment="1">
      <alignment horizontal="center" vertical="center"/>
    </xf>
    <xf numFmtId="0" fontId="33" fillId="27" borderId="15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7" fillId="27" borderId="56" xfId="0" applyFont="1" applyFill="1" applyBorder="1" applyAlignment="1">
      <alignment vertical="center"/>
    </xf>
    <xf numFmtId="0" fontId="17" fillId="27" borderId="62" xfId="0" applyFont="1" applyFill="1" applyBorder="1" applyAlignment="1">
      <alignment vertical="center"/>
    </xf>
    <xf numFmtId="0" fontId="17" fillId="27" borderId="62" xfId="0" applyFont="1" applyFill="1" applyBorder="1" applyAlignment="1">
      <alignment horizontal="left" vertical="center"/>
    </xf>
    <xf numFmtId="182" fontId="17" fillId="14" borderId="3" xfId="0" applyNumberFormat="1" applyFont="1" applyFill="1" applyBorder="1" applyAlignment="1">
      <alignment horizontal="right"/>
    </xf>
    <xf numFmtId="0" fontId="17" fillId="27" borderId="32" xfId="0" applyFont="1" applyFill="1" applyBorder="1" applyAlignment="1">
      <alignment horizontal="left" vertical="center"/>
    </xf>
    <xf numFmtId="0" fontId="17" fillId="27" borderId="32" xfId="0" applyFont="1" applyFill="1" applyBorder="1" applyAlignment="1">
      <alignment vertical="center"/>
    </xf>
    <xf numFmtId="174" fontId="17" fillId="14" borderId="3" xfId="0" applyNumberFormat="1" applyFont="1" applyFill="1" applyBorder="1" applyAlignment="1">
      <alignment horizontal="right"/>
    </xf>
    <xf numFmtId="0" fontId="33" fillId="27" borderId="56" xfId="0" applyFont="1" applyFill="1" applyBorder="1" applyAlignment="1">
      <alignment horizontal="center" vertical="center"/>
    </xf>
    <xf numFmtId="0" fontId="17" fillId="27" borderId="47" xfId="0" applyFont="1" applyFill="1" applyBorder="1" applyAlignment="1">
      <alignment vertical="center"/>
    </xf>
    <xf numFmtId="0" fontId="17" fillId="18" borderId="11" xfId="0" applyFont="1" applyFill="1" applyBorder="1" applyAlignment="1">
      <alignment horizontal="center" vertical="center"/>
    </xf>
    <xf numFmtId="0" fontId="17" fillId="18" borderId="13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2" fontId="17" fillId="4" borderId="7" xfId="0" applyNumberFormat="1" applyFont="1" applyFill="1" applyBorder="1" applyAlignment="1">
      <alignment horizontal="right"/>
    </xf>
    <xf numFmtId="2" fontId="17" fillId="4" borderId="14" xfId="0" applyNumberFormat="1" applyFont="1" applyFill="1" applyBorder="1" applyAlignment="1">
      <alignment horizontal="right"/>
    </xf>
    <xf numFmtId="2" fontId="17" fillId="5" borderId="14" xfId="0" applyNumberFormat="1" applyFont="1" applyFill="1" applyBorder="1" applyAlignment="1">
      <alignment horizontal="right"/>
    </xf>
    <xf numFmtId="10" fontId="17" fillId="5" borderId="15" xfId="4" applyNumberFormat="1" applyFont="1" applyFill="1" applyBorder="1" applyAlignment="1">
      <alignment horizontal="right"/>
    </xf>
    <xf numFmtId="4" fontId="17" fillId="4" borderId="7" xfId="0" applyNumberFormat="1" applyFont="1" applyFill="1" applyBorder="1" applyAlignment="1">
      <alignment horizontal="right"/>
    </xf>
    <xf numFmtId="0" fontId="7" fillId="12" borderId="56" xfId="0" applyFont="1" applyFill="1" applyBorder="1" applyAlignment="1" applyProtection="1">
      <alignment horizontal="center" wrapText="1"/>
      <protection hidden="1"/>
    </xf>
    <xf numFmtId="0" fontId="7" fillId="12" borderId="43" xfId="0" applyFont="1" applyFill="1" applyBorder="1" applyAlignment="1" applyProtection="1">
      <alignment horizontal="center" wrapText="1"/>
      <protection hidden="1"/>
    </xf>
    <xf numFmtId="0" fontId="18" fillId="17" borderId="56" xfId="0" applyFont="1" applyFill="1" applyBorder="1" applyAlignment="1">
      <alignment horizontal="left"/>
    </xf>
    <xf numFmtId="0" fontId="18" fillId="17" borderId="36" xfId="0" applyFont="1" applyFill="1" applyBorder="1" applyAlignment="1">
      <alignment horizontal="left"/>
    </xf>
    <xf numFmtId="0" fontId="18" fillId="17" borderId="43" xfId="0" applyFont="1" applyFill="1" applyBorder="1" applyAlignment="1">
      <alignment horizontal="left"/>
    </xf>
    <xf numFmtId="0" fontId="18" fillId="17" borderId="22" xfId="0" applyFont="1" applyFill="1" applyBorder="1" applyAlignment="1">
      <alignment horizontal="left" vertical="center"/>
    </xf>
    <xf numFmtId="0" fontId="18" fillId="17" borderId="9" xfId="0" applyFont="1" applyFill="1" applyBorder="1" applyAlignment="1">
      <alignment horizontal="left" vertical="center"/>
    </xf>
    <xf numFmtId="0" fontId="17" fillId="17" borderId="22" xfId="0" applyFont="1" applyFill="1" applyBorder="1" applyAlignment="1">
      <alignment horizontal="left" vertical="center"/>
    </xf>
    <xf numFmtId="0" fontId="17" fillId="17" borderId="9" xfId="0" applyFont="1" applyFill="1" applyBorder="1" applyAlignment="1">
      <alignment horizontal="left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/>
    </xf>
    <xf numFmtId="0" fontId="17" fillId="17" borderId="22" xfId="0" applyFont="1" applyFill="1" applyBorder="1" applyAlignment="1" applyProtection="1">
      <alignment horizontal="center" vertical="center"/>
      <protection hidden="1"/>
    </xf>
    <xf numFmtId="0" fontId="17" fillId="17" borderId="9" xfId="0" applyFont="1" applyFill="1" applyBorder="1" applyAlignment="1" applyProtection="1">
      <alignment horizontal="center" vertical="center"/>
      <protection hidden="1"/>
    </xf>
    <xf numFmtId="0" fontId="17" fillId="17" borderId="3" xfId="0" applyFont="1" applyFill="1" applyBorder="1" applyAlignment="1">
      <alignment horizontal="left" vertical="center"/>
    </xf>
    <xf numFmtId="0" fontId="17" fillId="21" borderId="22" xfId="0" applyFont="1" applyFill="1" applyBorder="1" applyAlignment="1">
      <alignment horizontal="center" vertical="center"/>
    </xf>
    <xf numFmtId="0" fontId="17" fillId="21" borderId="9" xfId="0" applyFont="1" applyFill="1" applyBorder="1" applyAlignment="1">
      <alignment horizontal="center" vertical="center"/>
    </xf>
    <xf numFmtId="0" fontId="17" fillId="23" borderId="22" xfId="0" applyFont="1" applyFill="1" applyBorder="1" applyAlignment="1">
      <alignment horizontal="center" vertical="center"/>
    </xf>
    <xf numFmtId="0" fontId="17" fillId="23" borderId="19" xfId="0" applyFont="1" applyFill="1" applyBorder="1" applyAlignment="1">
      <alignment horizontal="center" vertical="center"/>
    </xf>
    <xf numFmtId="0" fontId="17" fillId="23" borderId="9" xfId="0" applyFont="1" applyFill="1" applyBorder="1" applyAlignment="1">
      <alignment horizontal="center" vertical="center"/>
    </xf>
    <xf numFmtId="0" fontId="17" fillId="23" borderId="3" xfId="0" applyFont="1" applyFill="1" applyBorder="1" applyAlignment="1">
      <alignment horizontal="left" vertical="center"/>
    </xf>
    <xf numFmtId="0" fontId="17" fillId="25" borderId="3" xfId="0" applyFont="1" applyFill="1" applyBorder="1" applyAlignment="1">
      <alignment horizontal="center" vertical="center"/>
    </xf>
    <xf numFmtId="0" fontId="17" fillId="25" borderId="3" xfId="0" applyFont="1" applyFill="1" applyBorder="1" applyAlignment="1">
      <alignment horizontal="left" vertical="center"/>
    </xf>
    <xf numFmtId="0" fontId="17" fillId="22" borderId="22" xfId="0" applyFont="1" applyFill="1" applyBorder="1" applyAlignment="1">
      <alignment horizontal="center" vertical="center"/>
    </xf>
    <xf numFmtId="0" fontId="17" fillId="22" borderId="9" xfId="0" applyFont="1" applyFill="1" applyBorder="1" applyAlignment="1">
      <alignment horizontal="center" vertical="center"/>
    </xf>
    <xf numFmtId="0" fontId="17" fillId="17" borderId="3" xfId="0" applyFont="1" applyFill="1" applyBorder="1" applyAlignment="1" applyProtection="1">
      <alignment horizontal="center" vertical="center"/>
      <protection hidden="1"/>
    </xf>
    <xf numFmtId="0" fontId="17" fillId="21" borderId="3" xfId="0" applyFont="1" applyFill="1" applyBorder="1" applyAlignment="1" applyProtection="1">
      <alignment horizontal="center" vertical="center"/>
      <protection hidden="1"/>
    </xf>
    <xf numFmtId="0" fontId="18" fillId="21" borderId="3" xfId="0" applyFont="1" applyFill="1" applyBorder="1" applyAlignment="1">
      <alignment horizontal="left" vertical="center"/>
    </xf>
    <xf numFmtId="0" fontId="18" fillId="22" borderId="3" xfId="0" applyFont="1" applyFill="1" applyBorder="1" applyAlignment="1">
      <alignment horizontal="left" vertical="center"/>
    </xf>
    <xf numFmtId="0" fontId="18" fillId="23" borderId="3" xfId="0" applyFont="1" applyFill="1" applyBorder="1" applyAlignment="1">
      <alignment horizontal="left" vertical="center"/>
    </xf>
    <xf numFmtId="0" fontId="18" fillId="24" borderId="3" xfId="0" applyFont="1" applyFill="1" applyBorder="1" applyAlignment="1">
      <alignment horizontal="left" vertical="center"/>
    </xf>
    <xf numFmtId="0" fontId="17" fillId="22" borderId="3" xfId="0" applyFont="1" applyFill="1" applyBorder="1" applyAlignment="1">
      <alignment horizontal="left" vertical="center"/>
    </xf>
    <xf numFmtId="0" fontId="17" fillId="24" borderId="3" xfId="0" applyFont="1" applyFill="1" applyBorder="1" applyAlignment="1">
      <alignment horizontal="left" vertical="center"/>
    </xf>
    <xf numFmtId="0" fontId="17" fillId="21" borderId="3" xfId="0" applyFont="1" applyFill="1" applyBorder="1" applyAlignment="1">
      <alignment horizontal="left" vertical="center"/>
    </xf>
    <xf numFmtId="0" fontId="18" fillId="25" borderId="3" xfId="0" applyFont="1" applyFill="1" applyBorder="1" applyAlignment="1">
      <alignment horizontal="left" vertical="center"/>
    </xf>
    <xf numFmtId="0" fontId="17" fillId="24" borderId="22" xfId="0" applyFont="1" applyFill="1" applyBorder="1" applyAlignment="1">
      <alignment horizontal="center" vertical="center"/>
    </xf>
    <xf numFmtId="0" fontId="17" fillId="24" borderId="19" xfId="0" applyFont="1" applyFill="1" applyBorder="1" applyAlignment="1">
      <alignment horizontal="center" vertical="center"/>
    </xf>
    <xf numFmtId="0" fontId="17" fillId="24" borderId="9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32" borderId="56" xfId="0" applyFont="1" applyFill="1" applyBorder="1" applyAlignment="1">
      <alignment horizontal="left" vertical="center"/>
    </xf>
    <xf numFmtId="0" fontId="18" fillId="32" borderId="36" xfId="0" applyFont="1" applyFill="1" applyBorder="1" applyAlignment="1">
      <alignment horizontal="left" vertical="center"/>
    </xf>
    <xf numFmtId="0" fontId="18" fillId="32" borderId="43" xfId="0" applyFont="1" applyFill="1" applyBorder="1" applyAlignment="1">
      <alignment horizontal="left" vertical="center"/>
    </xf>
    <xf numFmtId="0" fontId="29" fillId="2" borderId="11" xfId="0" applyFont="1" applyFill="1" applyBorder="1" applyAlignment="1">
      <alignment horizontal="left"/>
    </xf>
    <xf numFmtId="0" fontId="29" fillId="2" borderId="13" xfId="0" applyFont="1" applyFill="1" applyBorder="1" applyAlignment="1">
      <alignment horizontal="left"/>
    </xf>
    <xf numFmtId="0" fontId="29" fillId="2" borderId="12" xfId="0" applyFont="1" applyFill="1" applyBorder="1" applyAlignment="1">
      <alignment horizontal="left"/>
    </xf>
    <xf numFmtId="0" fontId="29" fillId="2" borderId="56" xfId="0" applyFont="1" applyFill="1" applyBorder="1" applyAlignment="1">
      <alignment horizontal="left"/>
    </xf>
    <xf numFmtId="0" fontId="29" fillId="2" borderId="36" xfId="0" applyFont="1" applyFill="1" applyBorder="1" applyAlignment="1">
      <alignment horizontal="left"/>
    </xf>
    <xf numFmtId="0" fontId="29" fillId="2" borderId="43" xfId="0" applyFont="1" applyFill="1" applyBorder="1" applyAlignment="1">
      <alignment horizontal="left"/>
    </xf>
    <xf numFmtId="0" fontId="29" fillId="2" borderId="59" xfId="0" applyFont="1" applyFill="1" applyBorder="1" applyAlignment="1">
      <alignment horizontal="left"/>
    </xf>
    <xf numFmtId="0" fontId="29" fillId="2" borderId="60" xfId="0" applyFont="1" applyFill="1" applyBorder="1" applyAlignment="1">
      <alignment horizontal="left"/>
    </xf>
    <xf numFmtId="0" fontId="18" fillId="2" borderId="58" xfId="0" applyFont="1" applyFill="1" applyBorder="1" applyAlignment="1">
      <alignment horizontal="center"/>
    </xf>
    <xf numFmtId="0" fontId="18" fillId="2" borderId="38" xfId="0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8" fillId="27" borderId="56" xfId="0" applyFont="1" applyFill="1" applyBorder="1" applyAlignment="1">
      <alignment horizontal="center" vertical="center"/>
    </xf>
    <xf numFmtId="0" fontId="18" fillId="27" borderId="43" xfId="0" applyFont="1" applyFill="1" applyBorder="1" applyAlignment="1">
      <alignment horizontal="center" vertical="center"/>
    </xf>
    <xf numFmtId="0" fontId="18" fillId="2" borderId="56" xfId="0" applyFont="1" applyFill="1" applyBorder="1" applyAlignment="1">
      <alignment horizontal="center" vertical="center"/>
    </xf>
    <xf numFmtId="0" fontId="18" fillId="2" borderId="36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left" vertical="center"/>
    </xf>
    <xf numFmtId="0" fontId="18" fillId="2" borderId="60" xfId="0" applyFont="1" applyFill="1" applyBorder="1" applyAlignment="1">
      <alignment horizontal="left" vertical="center"/>
    </xf>
    <xf numFmtId="0" fontId="18" fillId="18" borderId="61" xfId="0" applyFont="1" applyFill="1" applyBorder="1" applyAlignment="1">
      <alignment horizontal="left" vertical="center"/>
    </xf>
    <xf numFmtId="0" fontId="18" fillId="18" borderId="60" xfId="0" applyFont="1" applyFill="1" applyBorder="1" applyAlignment="1">
      <alignment horizontal="left" vertical="center"/>
    </xf>
    <xf numFmtId="0" fontId="18" fillId="2" borderId="56" xfId="0" applyFont="1" applyFill="1" applyBorder="1" applyAlignment="1">
      <alignment horizontal="left" vertical="center"/>
    </xf>
    <xf numFmtId="0" fontId="18" fillId="2" borderId="36" xfId="0" applyFont="1" applyFill="1" applyBorder="1" applyAlignment="1">
      <alignment horizontal="left" vertical="center"/>
    </xf>
    <xf numFmtId="0" fontId="18" fillId="2" borderId="43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9" fillId="2" borderId="58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53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9" fillId="2" borderId="56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2" borderId="43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7" fillId="2" borderId="61" xfId="0" applyFont="1" applyFill="1" applyBorder="1" applyAlignment="1">
      <alignment horizontal="center"/>
    </xf>
    <xf numFmtId="0" fontId="17" fillId="2" borderId="59" xfId="0" applyFont="1" applyFill="1" applyBorder="1" applyAlignment="1">
      <alignment horizontal="center"/>
    </xf>
    <xf numFmtId="0" fontId="17" fillId="2" borderId="60" xfId="0" applyFont="1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7" fillId="2" borderId="65" xfId="0" applyFont="1" applyFill="1" applyBorder="1" applyAlignment="1">
      <alignment horizontal="center"/>
    </xf>
    <xf numFmtId="0" fontId="17" fillId="2" borderId="54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 vertical="center" textRotation="255"/>
    </xf>
    <xf numFmtId="0" fontId="18" fillId="2" borderId="64" xfId="0" applyFont="1" applyFill="1" applyBorder="1" applyAlignment="1">
      <alignment horizontal="center" vertical="center" textRotation="255"/>
    </xf>
    <xf numFmtId="0" fontId="18" fillId="2" borderId="55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14" xfId="0" applyFont="1" applyFill="1" applyBorder="1" applyAlignment="1">
      <alignment horizontal="center" wrapText="1"/>
    </xf>
    <xf numFmtId="0" fontId="18" fillId="2" borderId="15" xfId="0" applyFont="1" applyFill="1" applyBorder="1" applyAlignment="1">
      <alignment horizontal="center" wrapText="1"/>
    </xf>
    <xf numFmtId="0" fontId="18" fillId="2" borderId="61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8" fillId="18" borderId="56" xfId="0" applyFont="1" applyFill="1" applyBorder="1" applyAlignment="1">
      <alignment horizontal="center"/>
    </xf>
    <xf numFmtId="0" fontId="18" fillId="18" borderId="36" xfId="0" applyFont="1" applyFill="1" applyBorder="1" applyAlignment="1">
      <alignment horizontal="center"/>
    </xf>
    <xf numFmtId="0" fontId="18" fillId="18" borderId="43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22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3" fontId="19" fillId="18" borderId="25" xfId="0" applyNumberFormat="1" applyFont="1" applyFill="1" applyBorder="1" applyAlignment="1">
      <alignment horizontal="center" vertical="center"/>
    </xf>
    <xf numFmtId="3" fontId="19" fillId="18" borderId="40" xfId="0" applyNumberFormat="1" applyFont="1" applyFill="1" applyBorder="1" applyAlignment="1">
      <alignment horizontal="center" vertical="center"/>
    </xf>
    <xf numFmtId="3" fontId="19" fillId="18" borderId="35" xfId="0" applyNumberFormat="1" applyFont="1" applyFill="1" applyBorder="1" applyAlignment="1">
      <alignment horizontal="center" vertical="center"/>
    </xf>
    <xf numFmtId="0" fontId="20" fillId="18" borderId="25" xfId="0" applyFont="1" applyFill="1" applyBorder="1" applyAlignment="1">
      <alignment horizontal="center" vertical="center"/>
    </xf>
    <xf numFmtId="0" fontId="20" fillId="18" borderId="40" xfId="0" applyFont="1" applyFill="1" applyBorder="1" applyAlignment="1">
      <alignment horizontal="center" vertical="center"/>
    </xf>
    <xf numFmtId="0" fontId="20" fillId="18" borderId="35" xfId="0" applyFont="1" applyFill="1" applyBorder="1" applyAlignment="1">
      <alignment horizontal="center" vertical="center"/>
    </xf>
    <xf numFmtId="0" fontId="19" fillId="30" borderId="3" xfId="0" applyFont="1" applyFill="1" applyBorder="1" applyAlignment="1">
      <alignment horizontal="center" vertical="center"/>
    </xf>
    <xf numFmtId="0" fontId="19" fillId="29" borderId="3" xfId="0" applyFont="1" applyFill="1" applyBorder="1" applyAlignment="1">
      <alignment horizontal="center" vertical="center"/>
    </xf>
    <xf numFmtId="4" fontId="20" fillId="20" borderId="3" xfId="0" applyNumberFormat="1" applyFont="1" applyFill="1" applyBorder="1" applyAlignment="1">
      <alignment horizontal="center" vertical="center"/>
    </xf>
    <xf numFmtId="4" fontId="20" fillId="20" borderId="14" xfId="0" applyNumberFormat="1" applyFont="1" applyFill="1" applyBorder="1" applyAlignment="1">
      <alignment horizontal="center" vertical="center"/>
    </xf>
    <xf numFmtId="3" fontId="17" fillId="20" borderId="3" xfId="0" applyNumberFormat="1" applyFont="1" applyFill="1" applyBorder="1" applyAlignment="1">
      <alignment horizontal="center" vertical="center"/>
    </xf>
    <xf numFmtId="3" fontId="17" fillId="20" borderId="14" xfId="0" applyNumberFormat="1" applyFont="1" applyFill="1" applyBorder="1" applyAlignment="1">
      <alignment horizontal="center" vertical="center"/>
    </xf>
    <xf numFmtId="0" fontId="19" fillId="20" borderId="3" xfId="0" applyFont="1" applyFill="1" applyBorder="1" applyAlignment="1">
      <alignment horizontal="center" vertical="center"/>
    </xf>
    <xf numFmtId="0" fontId="19" fillId="20" borderId="14" xfId="0" applyFont="1" applyFill="1" applyBorder="1" applyAlignment="1">
      <alignment horizontal="center" vertical="center"/>
    </xf>
    <xf numFmtId="180" fontId="19" fillId="14" borderId="3" xfId="2" applyNumberFormat="1" applyFont="1" applyFill="1" applyBorder="1" applyAlignment="1">
      <alignment horizontal="center" vertical="center"/>
    </xf>
    <xf numFmtId="180" fontId="19" fillId="14" borderId="14" xfId="2" applyNumberFormat="1" applyFont="1" applyFill="1" applyBorder="1" applyAlignment="1">
      <alignment horizontal="center" vertical="center"/>
    </xf>
    <xf numFmtId="0" fontId="18" fillId="29" borderId="3" xfId="0" applyFont="1" applyFill="1" applyBorder="1" applyAlignment="1">
      <alignment horizontal="center" vertical="center"/>
    </xf>
    <xf numFmtId="0" fontId="18" fillId="30" borderId="11" xfId="0" applyFont="1" applyFill="1" applyBorder="1" applyAlignment="1">
      <alignment horizontal="center" vertical="center"/>
    </xf>
    <xf numFmtId="0" fontId="18" fillId="30" borderId="13" xfId="0" applyFont="1" applyFill="1" applyBorder="1" applyAlignment="1">
      <alignment horizontal="center" vertical="center"/>
    </xf>
    <xf numFmtId="0" fontId="18" fillId="30" borderId="12" xfId="0" applyFont="1" applyFill="1" applyBorder="1" applyAlignment="1">
      <alignment horizontal="center" vertical="center"/>
    </xf>
    <xf numFmtId="0" fontId="18" fillId="29" borderId="11" xfId="0" applyFont="1" applyFill="1" applyBorder="1" applyAlignment="1">
      <alignment horizontal="center" vertical="center"/>
    </xf>
    <xf numFmtId="0" fontId="18" fillId="29" borderId="13" xfId="0" applyFont="1" applyFill="1" applyBorder="1" applyAlignment="1">
      <alignment horizontal="center" vertical="center"/>
    </xf>
    <xf numFmtId="0" fontId="18" fillId="29" borderId="12" xfId="0" applyFont="1" applyFill="1" applyBorder="1" applyAlignment="1">
      <alignment horizontal="center" vertical="center"/>
    </xf>
    <xf numFmtId="2" fontId="20" fillId="14" borderId="3" xfId="2" applyNumberFormat="1" applyFont="1" applyFill="1" applyBorder="1" applyAlignment="1">
      <alignment horizontal="center" vertical="center"/>
    </xf>
    <xf numFmtId="2" fontId="20" fillId="14" borderId="14" xfId="2" applyNumberFormat="1" applyFont="1" applyFill="1" applyBorder="1" applyAlignment="1">
      <alignment horizontal="center" vertical="center"/>
    </xf>
    <xf numFmtId="0" fontId="18" fillId="30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181" fontId="20" fillId="14" borderId="3" xfId="2" applyNumberFormat="1" applyFont="1" applyFill="1" applyBorder="1" applyAlignment="1">
      <alignment horizontal="center" vertical="center"/>
    </xf>
    <xf numFmtId="181" fontId="20" fillId="14" borderId="14" xfId="2" applyNumberFormat="1" applyFont="1" applyFill="1" applyBorder="1" applyAlignment="1">
      <alignment horizontal="center" vertical="center"/>
    </xf>
    <xf numFmtId="0" fontId="18" fillId="18" borderId="56" xfId="0" applyFont="1" applyFill="1" applyBorder="1" applyAlignment="1">
      <alignment horizontal="center" vertical="center"/>
    </xf>
    <xf numFmtId="0" fontId="18" fillId="18" borderId="36" xfId="0" applyFont="1" applyFill="1" applyBorder="1" applyAlignment="1">
      <alignment horizontal="center" vertical="center"/>
    </xf>
    <xf numFmtId="0" fontId="18" fillId="18" borderId="43" xfId="0" applyFont="1" applyFill="1" applyBorder="1" applyAlignment="1">
      <alignment horizontal="center" vertical="center"/>
    </xf>
    <xf numFmtId="0" fontId="17" fillId="18" borderId="3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18" fillId="18" borderId="12" xfId="0" applyFont="1" applyFill="1" applyBorder="1" applyAlignment="1">
      <alignment horizontal="center" vertical="center"/>
    </xf>
    <xf numFmtId="0" fontId="18" fillId="18" borderId="11" xfId="0" applyFont="1" applyFill="1" applyBorder="1" applyAlignment="1">
      <alignment horizontal="center" vertical="center"/>
    </xf>
    <xf numFmtId="0" fontId="18" fillId="27" borderId="56" xfId="0" applyFont="1" applyFill="1" applyBorder="1" applyAlignment="1">
      <alignment horizontal="left" vertical="center"/>
    </xf>
    <xf numFmtId="0" fontId="18" fillId="27" borderId="36" xfId="0" applyFont="1" applyFill="1" applyBorder="1" applyAlignment="1">
      <alignment horizontal="left" vertical="center"/>
    </xf>
    <xf numFmtId="0" fontId="18" fillId="27" borderId="43" xfId="0" applyFont="1" applyFill="1" applyBorder="1" applyAlignment="1">
      <alignment horizontal="left" vertical="center"/>
    </xf>
    <xf numFmtId="0" fontId="18" fillId="27" borderId="61" xfId="0" applyFont="1" applyFill="1" applyBorder="1" applyAlignment="1">
      <alignment horizontal="left" vertical="center"/>
    </xf>
    <xf numFmtId="0" fontId="18" fillId="27" borderId="59" xfId="0" applyFont="1" applyFill="1" applyBorder="1" applyAlignment="1">
      <alignment horizontal="left" vertical="center"/>
    </xf>
    <xf numFmtId="0" fontId="18" fillId="27" borderId="60" xfId="0" applyFont="1" applyFill="1" applyBorder="1" applyAlignment="1">
      <alignment horizontal="left" vertical="center"/>
    </xf>
    <xf numFmtId="0" fontId="18" fillId="17" borderId="25" xfId="0" applyFont="1" applyFill="1" applyBorder="1" applyAlignment="1">
      <alignment horizontal="center"/>
    </xf>
    <xf numFmtId="0" fontId="18" fillId="17" borderId="40" xfId="0" applyFont="1" applyFill="1" applyBorder="1" applyAlignment="1">
      <alignment horizontal="center"/>
    </xf>
    <xf numFmtId="0" fontId="18" fillId="17" borderId="35" xfId="0" applyFont="1" applyFill="1" applyBorder="1" applyAlignment="1">
      <alignment horizontal="center"/>
    </xf>
    <xf numFmtId="0" fontId="27" fillId="27" borderId="3" xfId="0" applyFont="1" applyFill="1" applyBorder="1" applyAlignment="1">
      <alignment horizontal="left" vertical="center" wrapText="1"/>
    </xf>
    <xf numFmtId="0" fontId="27" fillId="27" borderId="14" xfId="0" applyFont="1" applyFill="1" applyBorder="1" applyAlignment="1">
      <alignment horizontal="left" vertical="center" wrapText="1"/>
    </xf>
    <xf numFmtId="0" fontId="27" fillId="18" borderId="9" xfId="0" applyFont="1" applyFill="1" applyBorder="1" applyAlignment="1">
      <alignment horizontal="center" vertical="center"/>
    </xf>
    <xf numFmtId="0" fontId="27" fillId="18" borderId="53" xfId="0" applyFont="1" applyFill="1" applyBorder="1" applyAlignment="1">
      <alignment horizontal="center" vertical="center"/>
    </xf>
    <xf numFmtId="0" fontId="27" fillId="18" borderId="40" xfId="0" applyFont="1" applyFill="1" applyBorder="1" applyAlignment="1">
      <alignment horizontal="center" vertical="center"/>
    </xf>
    <xf numFmtId="0" fontId="27" fillId="18" borderId="35" xfId="0" applyFont="1" applyFill="1" applyBorder="1" applyAlignment="1">
      <alignment horizontal="center" vertical="center"/>
    </xf>
    <xf numFmtId="0" fontId="27" fillId="18" borderId="58" xfId="0" applyFont="1" applyFill="1" applyBorder="1" applyAlignment="1">
      <alignment horizontal="center" vertical="center" wrapText="1"/>
    </xf>
    <xf numFmtId="0" fontId="27" fillId="18" borderId="38" xfId="0" applyFont="1" applyFill="1" applyBorder="1" applyAlignment="1">
      <alignment horizontal="center" vertical="center" wrapText="1"/>
    </xf>
    <xf numFmtId="0" fontId="27" fillId="18" borderId="28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left" vertical="center"/>
    </xf>
    <xf numFmtId="0" fontId="27" fillId="18" borderId="10" xfId="0" applyFont="1" applyFill="1" applyBorder="1" applyAlignment="1">
      <alignment horizontal="center" vertical="center"/>
    </xf>
    <xf numFmtId="0" fontId="29" fillId="18" borderId="4" xfId="0" applyFont="1" applyFill="1" applyBorder="1" applyAlignment="1">
      <alignment horizontal="center"/>
    </xf>
    <xf numFmtId="0" fontId="29" fillId="18" borderId="5" xfId="0" applyFont="1" applyFill="1" applyBorder="1" applyAlignment="1">
      <alignment horizontal="center"/>
    </xf>
    <xf numFmtId="0" fontId="29" fillId="18" borderId="6" xfId="0" applyFont="1" applyFill="1" applyBorder="1" applyAlignment="1">
      <alignment horizontal="center"/>
    </xf>
    <xf numFmtId="0" fontId="27" fillId="27" borderId="3" xfId="0" applyFont="1" applyFill="1" applyBorder="1" applyAlignment="1" applyProtection="1">
      <alignment horizontal="left" vertical="center"/>
      <protection hidden="1"/>
    </xf>
    <xf numFmtId="0" fontId="27" fillId="27" borderId="2" xfId="0" applyFont="1" applyFill="1" applyBorder="1" applyAlignment="1" applyProtection="1">
      <alignment horizontal="left" vertical="center"/>
      <protection hidden="1"/>
    </xf>
    <xf numFmtId="0" fontId="27" fillId="27" borderId="14" xfId="0" applyFont="1" applyFill="1" applyBorder="1" applyAlignment="1" applyProtection="1">
      <alignment horizontal="left" vertical="center"/>
      <protection hidden="1"/>
    </xf>
    <xf numFmtId="0" fontId="27" fillId="27" borderId="15" xfId="0" applyFont="1" applyFill="1" applyBorder="1" applyAlignment="1" applyProtection="1">
      <alignment horizontal="left" vertical="center"/>
      <protection hidden="1"/>
    </xf>
    <xf numFmtId="0" fontId="29" fillId="18" borderId="56" xfId="0" applyFont="1" applyFill="1" applyBorder="1" applyAlignment="1">
      <alignment horizontal="center"/>
    </xf>
    <xf numFmtId="0" fontId="29" fillId="18" borderId="36" xfId="0" applyFont="1" applyFill="1" applyBorder="1" applyAlignment="1">
      <alignment horizontal="center"/>
    </xf>
    <xf numFmtId="0" fontId="29" fillId="18" borderId="43" xfId="0" applyFont="1" applyFill="1" applyBorder="1" applyAlignment="1">
      <alignment horizontal="center"/>
    </xf>
    <xf numFmtId="0" fontId="29" fillId="18" borderId="9" xfId="0" applyFont="1" applyFill="1" applyBorder="1" applyAlignment="1" applyProtection="1">
      <alignment horizontal="left" vertical="center"/>
      <protection hidden="1"/>
    </xf>
    <xf numFmtId="0" fontId="29" fillId="18" borderId="10" xfId="0" applyFont="1" applyFill="1" applyBorder="1" applyAlignment="1" applyProtection="1">
      <alignment horizontal="left" vertical="center"/>
      <protection hidden="1"/>
    </xf>
    <xf numFmtId="0" fontId="29" fillId="2" borderId="11" xfId="0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0" fontId="29" fillId="2" borderId="12" xfId="0" applyFont="1" applyFill="1" applyBorder="1" applyAlignment="1">
      <alignment horizontal="center"/>
    </xf>
    <xf numFmtId="0" fontId="29" fillId="2" borderId="56" xfId="0" applyFont="1" applyFill="1" applyBorder="1" applyAlignment="1">
      <alignment horizontal="center"/>
    </xf>
    <xf numFmtId="0" fontId="29" fillId="2" borderId="36" xfId="0" applyFont="1" applyFill="1" applyBorder="1" applyAlignment="1">
      <alignment horizontal="center"/>
    </xf>
    <xf numFmtId="0" fontId="29" fillId="2" borderId="43" xfId="0" applyFont="1" applyFill="1" applyBorder="1" applyAlignment="1">
      <alignment horizontal="center"/>
    </xf>
    <xf numFmtId="0" fontId="29" fillId="2" borderId="61" xfId="0" applyFont="1" applyFill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66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9" fillId="2" borderId="6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/>
    </xf>
    <xf numFmtId="0" fontId="29" fillId="2" borderId="48" xfId="0" applyFont="1" applyFill="1" applyBorder="1" applyAlignment="1">
      <alignment horizontal="center"/>
    </xf>
    <xf numFmtId="0" fontId="29" fillId="2" borderId="63" xfId="0" applyFont="1" applyFill="1" applyBorder="1" applyAlignment="1">
      <alignment horizontal="center"/>
    </xf>
    <xf numFmtId="0" fontId="29" fillId="2" borderId="4" xfId="0" applyFont="1" applyFill="1" applyBorder="1" applyAlignment="1">
      <alignment horizontal="center"/>
    </xf>
    <xf numFmtId="0" fontId="29" fillId="2" borderId="5" xfId="0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3" borderId="3" xfId="0" applyFont="1" applyFill="1" applyBorder="1" applyAlignment="1">
      <alignment horizontal="left"/>
    </xf>
    <xf numFmtId="0" fontId="27" fillId="3" borderId="2" xfId="0" applyFont="1" applyFill="1" applyBorder="1" applyAlignment="1">
      <alignment horizontal="left"/>
    </xf>
    <xf numFmtId="0" fontId="29" fillId="2" borderId="56" xfId="0" applyFont="1" applyFill="1" applyBorder="1" applyAlignment="1">
      <alignment horizontal="center" vertical="center"/>
    </xf>
    <xf numFmtId="0" fontId="29" fillId="2" borderId="36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left" vertical="center"/>
    </xf>
    <xf numFmtId="0" fontId="27" fillId="3" borderId="14" xfId="0" applyFont="1" applyFill="1" applyBorder="1" applyAlignment="1">
      <alignment horizontal="left"/>
    </xf>
    <xf numFmtId="0" fontId="27" fillId="3" borderId="15" xfId="0" applyFont="1" applyFill="1" applyBorder="1" applyAlignment="1">
      <alignment horizontal="left"/>
    </xf>
    <xf numFmtId="0" fontId="27" fillId="2" borderId="7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9" fontId="27" fillId="3" borderId="3" xfId="0" applyNumberFormat="1" applyFont="1" applyFill="1" applyBorder="1" applyAlignment="1">
      <alignment horizontal="center"/>
    </xf>
    <xf numFmtId="9" fontId="27" fillId="3" borderId="2" xfId="0" applyNumberFormat="1" applyFont="1" applyFill="1" applyBorder="1" applyAlignment="1">
      <alignment horizontal="center"/>
    </xf>
    <xf numFmtId="10" fontId="27" fillId="3" borderId="3" xfId="0" applyNumberFormat="1" applyFont="1" applyFill="1" applyBorder="1" applyAlignment="1">
      <alignment horizontal="center"/>
    </xf>
    <xf numFmtId="10" fontId="27" fillId="3" borderId="2" xfId="0" applyNumberFormat="1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17" fillId="18" borderId="13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/>
    </xf>
    <xf numFmtId="4" fontId="17" fillId="5" borderId="14" xfId="0" applyNumberFormat="1" applyFont="1" applyFill="1" applyBorder="1" applyAlignment="1">
      <alignment horizontal="center"/>
    </xf>
    <xf numFmtId="4" fontId="17" fillId="5" borderId="15" xfId="0" applyNumberFormat="1" applyFont="1" applyFill="1" applyBorder="1" applyAlignment="1">
      <alignment horizontal="center"/>
    </xf>
    <xf numFmtId="0" fontId="17" fillId="27" borderId="61" xfId="0" applyFont="1" applyFill="1" applyBorder="1" applyAlignment="1">
      <alignment horizontal="center" vertical="center"/>
    </xf>
    <xf numFmtId="0" fontId="17" fillId="27" borderId="59" xfId="0" applyFont="1" applyFill="1" applyBorder="1" applyAlignment="1">
      <alignment horizontal="center" vertical="center"/>
    </xf>
    <xf numFmtId="0" fontId="17" fillId="27" borderId="60" xfId="0" applyFont="1" applyFill="1" applyBorder="1" applyAlignment="1">
      <alignment horizontal="center" vertical="center"/>
    </xf>
    <xf numFmtId="0" fontId="17" fillId="27" borderId="56" xfId="0" applyFont="1" applyFill="1" applyBorder="1" applyAlignment="1">
      <alignment horizontal="left" vertical="center"/>
    </xf>
    <xf numFmtId="0" fontId="17" fillId="27" borderId="36" xfId="0" applyFont="1" applyFill="1" applyBorder="1" applyAlignment="1">
      <alignment horizontal="left" vertical="center"/>
    </xf>
    <xf numFmtId="0" fontId="17" fillId="27" borderId="43" xfId="0" applyFont="1" applyFill="1" applyBorder="1" applyAlignment="1">
      <alignment horizontal="left" vertical="center"/>
    </xf>
    <xf numFmtId="0" fontId="18" fillId="33" borderId="56" xfId="0" applyFont="1" applyFill="1" applyBorder="1" applyAlignment="1">
      <alignment horizontal="left" vertical="center"/>
    </xf>
    <xf numFmtId="0" fontId="18" fillId="33" borderId="36" xfId="0" applyFont="1" applyFill="1" applyBorder="1" applyAlignment="1">
      <alignment horizontal="left" vertical="center"/>
    </xf>
    <xf numFmtId="0" fontId="18" fillId="33" borderId="43" xfId="0" applyFont="1" applyFill="1" applyBorder="1" applyAlignment="1">
      <alignment horizontal="left" vertical="center"/>
    </xf>
    <xf numFmtId="183" fontId="17" fillId="27" borderId="36" xfId="0" applyNumberFormat="1" applyFont="1" applyFill="1" applyBorder="1" applyAlignment="1">
      <alignment horizontal="left" vertical="center"/>
    </xf>
    <xf numFmtId="183" fontId="17" fillId="27" borderId="43" xfId="0" applyNumberFormat="1" applyFont="1" applyFill="1" applyBorder="1" applyAlignment="1">
      <alignment horizontal="left" vertical="center"/>
    </xf>
    <xf numFmtId="0" fontId="17" fillId="27" borderId="62" xfId="0" applyFont="1" applyFill="1" applyBorder="1" applyAlignment="1">
      <alignment horizontal="left" vertical="center"/>
    </xf>
    <xf numFmtId="0" fontId="17" fillId="27" borderId="63" xfId="0" applyFont="1" applyFill="1" applyBorder="1" applyAlignment="1">
      <alignment horizontal="left" vertical="center"/>
    </xf>
    <xf numFmtId="0" fontId="17" fillId="27" borderId="56" xfId="0" applyFont="1" applyFill="1" applyBorder="1" applyAlignment="1">
      <alignment horizontal="center" vertical="center"/>
    </xf>
    <xf numFmtId="0" fontId="17" fillId="27" borderId="36" xfId="0" applyFont="1" applyFill="1" applyBorder="1" applyAlignment="1">
      <alignment horizontal="center" vertical="center"/>
    </xf>
    <xf numFmtId="0" fontId="17" fillId="27" borderId="43" xfId="0" applyFont="1" applyFill="1" applyBorder="1" applyAlignment="1">
      <alignment horizontal="center" vertical="center"/>
    </xf>
    <xf numFmtId="0" fontId="35" fillId="27" borderId="32" xfId="0" applyFont="1" applyFill="1" applyBorder="1" applyAlignment="1">
      <alignment vertical="center"/>
    </xf>
  </cellXfs>
  <cellStyles count="6">
    <cellStyle name="Collegamento ipertestuale" xfId="1" builtinId="8"/>
    <cellStyle name="Migliaia" xfId="2" builtinId="3"/>
    <cellStyle name="Migliaia [0]" xfId="3" builtinId="6"/>
    <cellStyle name="Normale" xfId="0" builtinId="0"/>
    <cellStyle name="Percentuale" xfId="4" builtinId="5"/>
    <cellStyle name="Valuta (0)_NUOVE NORME INTERSEZIONI" xfId="5"/>
  </cellStyles>
  <dxfs count="82">
    <dxf>
      <fill>
        <patternFill>
          <bgColor indexed="1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57"/>
      </font>
      <fill>
        <patternFill>
          <bgColor indexed="11"/>
        </patternFill>
      </fill>
    </dxf>
    <dxf>
      <font>
        <strike val="0"/>
        <outline val="0"/>
        <shadow val="0"/>
        <vertAlign val="baseline"/>
        <sz val="10"/>
        <name val="Lucida Console"/>
        <scheme val="none"/>
      </font>
    </dxf>
    <dxf>
      <font>
        <strike val="0"/>
        <outline val="0"/>
        <shadow val="0"/>
        <vertAlign val="baseline"/>
        <sz val="10"/>
        <name val="Lucida Console"/>
        <scheme val="none"/>
      </font>
    </dxf>
    <dxf>
      <font>
        <strike val="0"/>
        <outline val="0"/>
        <shadow val="0"/>
        <vertAlign val="baseline"/>
        <sz val="10"/>
        <name val="Lucida Console"/>
        <scheme val="none"/>
      </font>
    </dxf>
    <dxf>
      <font>
        <strike val="0"/>
        <outline val="0"/>
        <shadow val="0"/>
        <vertAlign val="baseline"/>
        <sz val="10"/>
        <name val="Lucida Console"/>
        <scheme val="none"/>
      </font>
    </dxf>
    <dxf>
      <font>
        <strike val="0"/>
        <outline val="0"/>
        <shadow val="0"/>
        <vertAlign val="baseline"/>
        <sz val="10"/>
        <name val="Lucida Console"/>
        <scheme val="none"/>
      </font>
    </dxf>
    <dxf>
      <font>
        <strike val="0"/>
        <outline val="0"/>
        <shadow val="0"/>
        <vertAlign val="baseline"/>
        <sz val="10"/>
        <name val="Lucida Console"/>
        <scheme val="none"/>
      </font>
    </dxf>
  </dxfs>
  <tableStyles count="0" defaultTableStyle="TableStyleMedium9" defaultPivotStyle="PivotStyleLight16"/>
  <colors>
    <mruColors>
      <color rgb="FFFFCC99"/>
      <color rgb="FFCCFFFF"/>
      <color rgb="FF99CCFF"/>
      <color rgb="FFFFFF99"/>
      <color rgb="FFFFFFCC"/>
      <color rgb="FF00FF00"/>
      <color rgb="FF66CCFF"/>
      <color rgb="FF66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74860409894094E-2"/>
          <c:y val="0.14706023150497383"/>
          <c:w val="0.92909646371731702"/>
          <c:h val="0.71569312665753926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ACCDEC!$E$43:$E$63</c:f>
              <c:numCache>
                <c:formatCode>0.00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</c:numCache>
            </c:numRef>
          </c:xVal>
          <c:yVal>
            <c:numRef>
              <c:f>ACCDEC!$G$43:$G$63</c:f>
              <c:numCache>
                <c:formatCode>0.00</c:formatCode>
                <c:ptCount val="21"/>
                <c:pt idx="0">
                  <c:v>0</c:v>
                </c:pt>
                <c:pt idx="1">
                  <c:v>0.02</c:v>
                </c:pt>
                <c:pt idx="2">
                  <c:v>0.08</c:v>
                </c:pt>
                <c:pt idx="3">
                  <c:v>0.18</c:v>
                </c:pt>
                <c:pt idx="4">
                  <c:v>0.32</c:v>
                </c:pt>
                <c:pt idx="5">
                  <c:v>0.5</c:v>
                </c:pt>
                <c:pt idx="6">
                  <c:v>0.72</c:v>
                </c:pt>
                <c:pt idx="7">
                  <c:v>0.98</c:v>
                </c:pt>
                <c:pt idx="8">
                  <c:v>1.28</c:v>
                </c:pt>
                <c:pt idx="9">
                  <c:v>1.62</c:v>
                </c:pt>
                <c:pt idx="10">
                  <c:v>2</c:v>
                </c:pt>
                <c:pt idx="11">
                  <c:v>2.38</c:v>
                </c:pt>
                <c:pt idx="12">
                  <c:v>2.72</c:v>
                </c:pt>
                <c:pt idx="13">
                  <c:v>3.02</c:v>
                </c:pt>
                <c:pt idx="14">
                  <c:v>3.28</c:v>
                </c:pt>
                <c:pt idx="15">
                  <c:v>3.5</c:v>
                </c:pt>
                <c:pt idx="16">
                  <c:v>3.68</c:v>
                </c:pt>
                <c:pt idx="17">
                  <c:v>3.82</c:v>
                </c:pt>
                <c:pt idx="18">
                  <c:v>3.92</c:v>
                </c:pt>
                <c:pt idx="19">
                  <c:v>3.98</c:v>
                </c:pt>
                <c:pt idx="20">
                  <c:v>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705176"/>
        <c:axId val="321705568"/>
      </c:scatterChart>
      <c:valAx>
        <c:axId val="32170517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321705568"/>
        <c:crosses val="autoZero"/>
        <c:crossBetween val="midCat"/>
      </c:valAx>
      <c:valAx>
        <c:axId val="32170556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crossAx val="32170517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05440666832771"/>
          <c:y val="4.6568683182879496E-2"/>
          <c:w val="0.8489071100138168"/>
          <c:h val="0.85784416389514861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ROT3P!$E$13:$E$1013</c:f>
              <c:numCache>
                <c:formatCode>#,##0.0000</c:formatCode>
                <c:ptCount val="1001"/>
                <c:pt idx="0">
                  <c:v>0</c:v>
                </c:pt>
                <c:pt idx="1">
                  <c:v>0.15705000000000002</c:v>
                </c:pt>
                <c:pt idx="2">
                  <c:v>0.31410000000000005</c:v>
                </c:pt>
                <c:pt idx="3">
                  <c:v>0.47115000000000007</c:v>
                </c:pt>
                <c:pt idx="4">
                  <c:v>0.62820000000000009</c:v>
                </c:pt>
                <c:pt idx="5">
                  <c:v>0.78525000000000011</c:v>
                </c:pt>
                <c:pt idx="6">
                  <c:v>0.94230000000000014</c:v>
                </c:pt>
                <c:pt idx="7">
                  <c:v>1.0993500000000003</c:v>
                </c:pt>
                <c:pt idx="8">
                  <c:v>1.2564000000000002</c:v>
                </c:pt>
                <c:pt idx="9">
                  <c:v>1.4134500000000001</c:v>
                </c:pt>
                <c:pt idx="10">
                  <c:v>1.5705</c:v>
                </c:pt>
                <c:pt idx="11">
                  <c:v>1.7275499999999999</c:v>
                </c:pt>
                <c:pt idx="12">
                  <c:v>1.8845999999999998</c:v>
                </c:pt>
                <c:pt idx="13">
                  <c:v>2.0416499999999997</c:v>
                </c:pt>
                <c:pt idx="14">
                  <c:v>2.1986999999999997</c:v>
                </c:pt>
                <c:pt idx="15">
                  <c:v>2.3557499999999996</c:v>
                </c:pt>
                <c:pt idx="16">
                  <c:v>2.5127999999999995</c:v>
                </c:pt>
                <c:pt idx="17">
                  <c:v>2.6698499999999994</c:v>
                </c:pt>
                <c:pt idx="18">
                  <c:v>2.8268999999999993</c:v>
                </c:pt>
                <c:pt idx="19">
                  <c:v>2.9839499999999992</c:v>
                </c:pt>
                <c:pt idx="20">
                  <c:v>3.1409999999999991</c:v>
                </c:pt>
                <c:pt idx="21">
                  <c:v>3.298049999999999</c:v>
                </c:pt>
                <c:pt idx="22">
                  <c:v>3.4550999999999989</c:v>
                </c:pt>
                <c:pt idx="23">
                  <c:v>3.6121499999999989</c:v>
                </c:pt>
                <c:pt idx="24">
                  <c:v>3.7691999999999988</c:v>
                </c:pt>
                <c:pt idx="25">
                  <c:v>3.9262499999999987</c:v>
                </c:pt>
                <c:pt idx="26">
                  <c:v>4.0832999999999986</c:v>
                </c:pt>
                <c:pt idx="27">
                  <c:v>4.2403499999999985</c:v>
                </c:pt>
                <c:pt idx="28">
                  <c:v>4.3973999999999984</c:v>
                </c:pt>
                <c:pt idx="29">
                  <c:v>4.5544499999999983</c:v>
                </c:pt>
                <c:pt idx="30">
                  <c:v>4.7114999999999982</c:v>
                </c:pt>
                <c:pt idx="31">
                  <c:v>4.8685499999999982</c:v>
                </c:pt>
                <c:pt idx="32">
                  <c:v>5.0255999999999981</c:v>
                </c:pt>
                <c:pt idx="33">
                  <c:v>5.182649999999998</c:v>
                </c:pt>
                <c:pt idx="34">
                  <c:v>5.3396999999999979</c:v>
                </c:pt>
                <c:pt idx="35">
                  <c:v>5.4967499999999978</c:v>
                </c:pt>
                <c:pt idx="36">
                  <c:v>5.6537999999999977</c:v>
                </c:pt>
                <c:pt idx="37">
                  <c:v>5.8108499999999976</c:v>
                </c:pt>
                <c:pt idx="38">
                  <c:v>5.9678999999999975</c:v>
                </c:pt>
                <c:pt idx="39">
                  <c:v>6.1249499999999975</c:v>
                </c:pt>
                <c:pt idx="40">
                  <c:v>6.2819999999999974</c:v>
                </c:pt>
                <c:pt idx="41">
                  <c:v>6.4390499999999973</c:v>
                </c:pt>
                <c:pt idx="42">
                  <c:v>6.5960999999999972</c:v>
                </c:pt>
                <c:pt idx="43">
                  <c:v>6.7531499999999971</c:v>
                </c:pt>
                <c:pt idx="44">
                  <c:v>6.910199999999997</c:v>
                </c:pt>
                <c:pt idx="45">
                  <c:v>7.0672499999999969</c:v>
                </c:pt>
                <c:pt idx="46">
                  <c:v>7.2242999999999968</c:v>
                </c:pt>
                <c:pt idx="47">
                  <c:v>7.3813499999999967</c:v>
                </c:pt>
                <c:pt idx="48">
                  <c:v>7.5383999999999967</c:v>
                </c:pt>
                <c:pt idx="49">
                  <c:v>7.6954499999999966</c:v>
                </c:pt>
                <c:pt idx="50">
                  <c:v>7.8524999999999965</c:v>
                </c:pt>
                <c:pt idx="51">
                  <c:v>8.0095499999999973</c:v>
                </c:pt>
                <c:pt idx="52">
                  <c:v>8.1665999999999972</c:v>
                </c:pt>
                <c:pt idx="53">
                  <c:v>8.3236499999999971</c:v>
                </c:pt>
                <c:pt idx="54">
                  <c:v>8.480699999999997</c:v>
                </c:pt>
                <c:pt idx="55">
                  <c:v>8.6377499999999969</c:v>
                </c:pt>
                <c:pt idx="56">
                  <c:v>8.7947999999999968</c:v>
                </c:pt>
                <c:pt idx="57">
                  <c:v>8.9518499999999968</c:v>
                </c:pt>
                <c:pt idx="58">
                  <c:v>9.1088999999999967</c:v>
                </c:pt>
                <c:pt idx="59">
                  <c:v>9.2659499999999966</c:v>
                </c:pt>
                <c:pt idx="60">
                  <c:v>9.4229999999999965</c:v>
                </c:pt>
                <c:pt idx="61">
                  <c:v>9.5800499999999964</c:v>
                </c:pt>
                <c:pt idx="62">
                  <c:v>9.7370999999999963</c:v>
                </c:pt>
                <c:pt idx="63">
                  <c:v>9.8941499999999962</c:v>
                </c:pt>
                <c:pt idx="64">
                  <c:v>10.051199999999996</c:v>
                </c:pt>
                <c:pt idx="65">
                  <c:v>10.208249999999996</c:v>
                </c:pt>
                <c:pt idx="66">
                  <c:v>10.365299999999996</c:v>
                </c:pt>
                <c:pt idx="67">
                  <c:v>10.522349999999996</c:v>
                </c:pt>
                <c:pt idx="68">
                  <c:v>10.679399999999996</c:v>
                </c:pt>
                <c:pt idx="69">
                  <c:v>10.836449999999996</c:v>
                </c:pt>
                <c:pt idx="70">
                  <c:v>10.993499999999996</c:v>
                </c:pt>
                <c:pt idx="71">
                  <c:v>11.150549999999996</c:v>
                </c:pt>
                <c:pt idx="72">
                  <c:v>11.307599999999995</c:v>
                </c:pt>
                <c:pt idx="73">
                  <c:v>11.464649999999995</c:v>
                </c:pt>
                <c:pt idx="74">
                  <c:v>11.621699999999995</c:v>
                </c:pt>
                <c:pt idx="75">
                  <c:v>11.778749999999995</c:v>
                </c:pt>
                <c:pt idx="76">
                  <c:v>11.935799999999995</c:v>
                </c:pt>
                <c:pt idx="77">
                  <c:v>12.092849999999995</c:v>
                </c:pt>
                <c:pt idx="78">
                  <c:v>12.249899999999995</c:v>
                </c:pt>
                <c:pt idx="79">
                  <c:v>12.406949999999995</c:v>
                </c:pt>
                <c:pt idx="80">
                  <c:v>12.563999999999995</c:v>
                </c:pt>
                <c:pt idx="81">
                  <c:v>12.721049999999995</c:v>
                </c:pt>
                <c:pt idx="82">
                  <c:v>12.878099999999995</c:v>
                </c:pt>
                <c:pt idx="83">
                  <c:v>13.035149999999994</c:v>
                </c:pt>
                <c:pt idx="84">
                  <c:v>13.192199999999994</c:v>
                </c:pt>
                <c:pt idx="85">
                  <c:v>13.349249999999994</c:v>
                </c:pt>
                <c:pt idx="86">
                  <c:v>13.506299999999994</c:v>
                </c:pt>
                <c:pt idx="87">
                  <c:v>13.663349999999994</c:v>
                </c:pt>
                <c:pt idx="88">
                  <c:v>13.820399999999994</c:v>
                </c:pt>
                <c:pt idx="89">
                  <c:v>13.977449999999994</c:v>
                </c:pt>
                <c:pt idx="90">
                  <c:v>14.134499999999994</c:v>
                </c:pt>
                <c:pt idx="91">
                  <c:v>14.291549999999994</c:v>
                </c:pt>
                <c:pt idx="92">
                  <c:v>14.448599999999994</c:v>
                </c:pt>
                <c:pt idx="93">
                  <c:v>14.605649999999994</c:v>
                </c:pt>
                <c:pt idx="94">
                  <c:v>14.762699999999993</c:v>
                </c:pt>
                <c:pt idx="95">
                  <c:v>14.919749999999993</c:v>
                </c:pt>
                <c:pt idx="96">
                  <c:v>15.076799999999993</c:v>
                </c:pt>
                <c:pt idx="97">
                  <c:v>15.233849999999993</c:v>
                </c:pt>
                <c:pt idx="98">
                  <c:v>15.390899999999993</c:v>
                </c:pt>
                <c:pt idx="99">
                  <c:v>15.547949999999993</c:v>
                </c:pt>
                <c:pt idx="100">
                  <c:v>15.704999999999993</c:v>
                </c:pt>
                <c:pt idx="101">
                  <c:v>15.862049999999993</c:v>
                </c:pt>
                <c:pt idx="102">
                  <c:v>16.019099999999995</c:v>
                </c:pt>
                <c:pt idx="103">
                  <c:v>16.176149999999996</c:v>
                </c:pt>
                <c:pt idx="104">
                  <c:v>16.333199999999998</c:v>
                </c:pt>
                <c:pt idx="105">
                  <c:v>16.49025</c:v>
                </c:pt>
                <c:pt idx="106">
                  <c:v>16.647300000000001</c:v>
                </c:pt>
                <c:pt idx="107">
                  <c:v>16.804350000000003</c:v>
                </c:pt>
                <c:pt idx="108">
                  <c:v>16.961400000000005</c:v>
                </c:pt>
                <c:pt idx="109">
                  <c:v>17.118450000000006</c:v>
                </c:pt>
                <c:pt idx="110">
                  <c:v>17.275500000000008</c:v>
                </c:pt>
                <c:pt idx="111">
                  <c:v>17.43255000000001</c:v>
                </c:pt>
                <c:pt idx="112">
                  <c:v>17.589600000000011</c:v>
                </c:pt>
                <c:pt idx="113">
                  <c:v>17.746650000000013</c:v>
                </c:pt>
                <c:pt idx="114">
                  <c:v>17.903700000000015</c:v>
                </c:pt>
                <c:pt idx="115">
                  <c:v>18.060750000000017</c:v>
                </c:pt>
                <c:pt idx="116">
                  <c:v>18.217800000000018</c:v>
                </c:pt>
                <c:pt idx="117">
                  <c:v>18.37485000000002</c:v>
                </c:pt>
                <c:pt idx="118">
                  <c:v>18.531900000000022</c:v>
                </c:pt>
                <c:pt idx="119">
                  <c:v>18.688950000000023</c:v>
                </c:pt>
                <c:pt idx="120">
                  <c:v>18.846000000000025</c:v>
                </c:pt>
                <c:pt idx="121">
                  <c:v>19.003050000000027</c:v>
                </c:pt>
                <c:pt idx="122">
                  <c:v>19.160100000000028</c:v>
                </c:pt>
                <c:pt idx="123">
                  <c:v>19.31715000000003</c:v>
                </c:pt>
                <c:pt idx="124">
                  <c:v>19.474200000000032</c:v>
                </c:pt>
                <c:pt idx="125">
                  <c:v>19.631250000000033</c:v>
                </c:pt>
                <c:pt idx="126">
                  <c:v>19.788300000000035</c:v>
                </c:pt>
                <c:pt idx="127">
                  <c:v>19.945350000000037</c:v>
                </c:pt>
                <c:pt idx="128">
                  <c:v>20.102400000000038</c:v>
                </c:pt>
                <c:pt idx="129">
                  <c:v>20.25945000000004</c:v>
                </c:pt>
                <c:pt idx="130">
                  <c:v>20.416500000000042</c:v>
                </c:pt>
                <c:pt idx="131">
                  <c:v>20.573550000000044</c:v>
                </c:pt>
                <c:pt idx="132">
                  <c:v>20.730600000000045</c:v>
                </c:pt>
                <c:pt idx="133">
                  <c:v>20.887650000000047</c:v>
                </c:pt>
                <c:pt idx="134">
                  <c:v>21.044700000000049</c:v>
                </c:pt>
                <c:pt idx="135">
                  <c:v>21.20175000000005</c:v>
                </c:pt>
                <c:pt idx="136">
                  <c:v>21.358800000000052</c:v>
                </c:pt>
                <c:pt idx="137">
                  <c:v>21.515850000000054</c:v>
                </c:pt>
                <c:pt idx="138">
                  <c:v>21.672900000000055</c:v>
                </c:pt>
                <c:pt idx="139">
                  <c:v>21.829950000000057</c:v>
                </c:pt>
                <c:pt idx="140">
                  <c:v>21.987000000000059</c:v>
                </c:pt>
                <c:pt idx="141">
                  <c:v>22.14405000000006</c:v>
                </c:pt>
                <c:pt idx="142">
                  <c:v>22.301100000000062</c:v>
                </c:pt>
                <c:pt idx="143">
                  <c:v>22.458150000000064</c:v>
                </c:pt>
                <c:pt idx="144">
                  <c:v>22.615200000000065</c:v>
                </c:pt>
                <c:pt idx="145">
                  <c:v>22.772250000000067</c:v>
                </c:pt>
                <c:pt idx="146">
                  <c:v>22.929300000000069</c:v>
                </c:pt>
                <c:pt idx="147">
                  <c:v>23.086350000000071</c:v>
                </c:pt>
                <c:pt idx="148">
                  <c:v>23.243400000000072</c:v>
                </c:pt>
                <c:pt idx="149">
                  <c:v>23.400450000000074</c:v>
                </c:pt>
                <c:pt idx="150">
                  <c:v>23.557500000000076</c:v>
                </c:pt>
                <c:pt idx="151">
                  <c:v>23.714550000000077</c:v>
                </c:pt>
                <c:pt idx="152">
                  <c:v>23.871600000000079</c:v>
                </c:pt>
                <c:pt idx="153">
                  <c:v>24.028650000000081</c:v>
                </c:pt>
                <c:pt idx="154">
                  <c:v>24.185700000000082</c:v>
                </c:pt>
                <c:pt idx="155">
                  <c:v>24.342750000000084</c:v>
                </c:pt>
                <c:pt idx="156">
                  <c:v>24.499800000000086</c:v>
                </c:pt>
                <c:pt idx="157">
                  <c:v>24.656850000000087</c:v>
                </c:pt>
                <c:pt idx="158">
                  <c:v>24.813900000000089</c:v>
                </c:pt>
                <c:pt idx="159">
                  <c:v>24.970950000000091</c:v>
                </c:pt>
                <c:pt idx="160">
                  <c:v>25.128000000000092</c:v>
                </c:pt>
                <c:pt idx="161">
                  <c:v>25.285050000000094</c:v>
                </c:pt>
                <c:pt idx="162">
                  <c:v>25.442100000000096</c:v>
                </c:pt>
                <c:pt idx="163">
                  <c:v>25.599150000000098</c:v>
                </c:pt>
                <c:pt idx="164">
                  <c:v>25.756200000000099</c:v>
                </c:pt>
                <c:pt idx="165">
                  <c:v>25.913250000000101</c:v>
                </c:pt>
                <c:pt idx="166">
                  <c:v>26.070300000000103</c:v>
                </c:pt>
                <c:pt idx="167">
                  <c:v>26.227350000000104</c:v>
                </c:pt>
                <c:pt idx="168">
                  <c:v>26.384400000000106</c:v>
                </c:pt>
                <c:pt idx="169">
                  <c:v>26.541450000000108</c:v>
                </c:pt>
                <c:pt idx="170">
                  <c:v>26.698500000000109</c:v>
                </c:pt>
                <c:pt idx="171">
                  <c:v>26.855550000000111</c:v>
                </c:pt>
                <c:pt idx="172">
                  <c:v>27.012600000000113</c:v>
                </c:pt>
                <c:pt idx="173">
                  <c:v>27.169650000000114</c:v>
                </c:pt>
                <c:pt idx="174">
                  <c:v>27.326700000000116</c:v>
                </c:pt>
                <c:pt idx="175">
                  <c:v>27.483750000000118</c:v>
                </c:pt>
                <c:pt idx="176">
                  <c:v>27.640800000000119</c:v>
                </c:pt>
                <c:pt idx="177">
                  <c:v>27.797850000000121</c:v>
                </c:pt>
                <c:pt idx="178">
                  <c:v>27.954900000000123</c:v>
                </c:pt>
                <c:pt idx="179">
                  <c:v>28.111950000000125</c:v>
                </c:pt>
                <c:pt idx="180">
                  <c:v>28.269000000000126</c:v>
                </c:pt>
                <c:pt idx="181">
                  <c:v>28.426050000000128</c:v>
                </c:pt>
                <c:pt idx="182">
                  <c:v>28.58310000000013</c:v>
                </c:pt>
                <c:pt idx="183">
                  <c:v>28.740150000000131</c:v>
                </c:pt>
                <c:pt idx="184">
                  <c:v>28.897200000000133</c:v>
                </c:pt>
                <c:pt idx="185">
                  <c:v>29.054250000000135</c:v>
                </c:pt>
                <c:pt idx="186">
                  <c:v>29.211300000000136</c:v>
                </c:pt>
                <c:pt idx="187">
                  <c:v>29.368350000000138</c:v>
                </c:pt>
                <c:pt idx="188">
                  <c:v>29.52540000000014</c:v>
                </c:pt>
                <c:pt idx="189">
                  <c:v>29.682450000000141</c:v>
                </c:pt>
                <c:pt idx="190">
                  <c:v>29.839500000000143</c:v>
                </c:pt>
                <c:pt idx="191">
                  <c:v>29.996550000000145</c:v>
                </c:pt>
                <c:pt idx="192">
                  <c:v>30.153600000000147</c:v>
                </c:pt>
                <c:pt idx="193">
                  <c:v>30.310650000000148</c:v>
                </c:pt>
                <c:pt idx="194">
                  <c:v>30.46770000000015</c:v>
                </c:pt>
                <c:pt idx="195">
                  <c:v>30.624750000000152</c:v>
                </c:pt>
                <c:pt idx="196">
                  <c:v>30.781800000000153</c:v>
                </c:pt>
                <c:pt idx="197">
                  <c:v>30.938850000000155</c:v>
                </c:pt>
                <c:pt idx="198">
                  <c:v>31.095900000000157</c:v>
                </c:pt>
                <c:pt idx="199">
                  <c:v>31.252950000000158</c:v>
                </c:pt>
                <c:pt idx="200">
                  <c:v>31.41000000000016</c:v>
                </c:pt>
                <c:pt idx="201">
                  <c:v>31.567050000000162</c:v>
                </c:pt>
                <c:pt idx="202">
                  <c:v>31.724100000000163</c:v>
                </c:pt>
                <c:pt idx="203">
                  <c:v>31.881150000000165</c:v>
                </c:pt>
                <c:pt idx="204">
                  <c:v>32.038200000000167</c:v>
                </c:pt>
                <c:pt idx="205">
                  <c:v>32.195250000000165</c:v>
                </c:pt>
                <c:pt idx="206">
                  <c:v>32.352300000000163</c:v>
                </c:pt>
                <c:pt idx="207">
                  <c:v>32.509350000000161</c:v>
                </c:pt>
                <c:pt idx="208">
                  <c:v>32.666400000000159</c:v>
                </c:pt>
                <c:pt idx="209">
                  <c:v>32.823450000000157</c:v>
                </c:pt>
                <c:pt idx="210">
                  <c:v>32.980500000000156</c:v>
                </c:pt>
                <c:pt idx="211">
                  <c:v>33.137550000000154</c:v>
                </c:pt>
                <c:pt idx="212">
                  <c:v>33.294600000000152</c:v>
                </c:pt>
                <c:pt idx="213">
                  <c:v>33.45165000000015</c:v>
                </c:pt>
                <c:pt idx="214">
                  <c:v>33.608700000000148</c:v>
                </c:pt>
                <c:pt idx="215">
                  <c:v>33.765750000000146</c:v>
                </c:pt>
                <c:pt idx="216">
                  <c:v>33.922800000000144</c:v>
                </c:pt>
                <c:pt idx="217">
                  <c:v>34.079850000000143</c:v>
                </c:pt>
                <c:pt idx="218">
                  <c:v>34.236900000000141</c:v>
                </c:pt>
                <c:pt idx="219">
                  <c:v>34.393950000000139</c:v>
                </c:pt>
                <c:pt idx="220">
                  <c:v>34.551000000000137</c:v>
                </c:pt>
                <c:pt idx="221">
                  <c:v>34.708050000000135</c:v>
                </c:pt>
                <c:pt idx="222">
                  <c:v>34.865100000000133</c:v>
                </c:pt>
                <c:pt idx="223">
                  <c:v>35.022150000000131</c:v>
                </c:pt>
                <c:pt idx="224">
                  <c:v>35.179200000000129</c:v>
                </c:pt>
                <c:pt idx="225">
                  <c:v>35.336250000000128</c:v>
                </c:pt>
                <c:pt idx="226">
                  <c:v>35.493300000000126</c:v>
                </c:pt>
                <c:pt idx="227">
                  <c:v>35.650350000000124</c:v>
                </c:pt>
                <c:pt idx="228">
                  <c:v>35.807400000000122</c:v>
                </c:pt>
                <c:pt idx="229">
                  <c:v>35.96445000000012</c:v>
                </c:pt>
                <c:pt idx="230">
                  <c:v>36.121500000000118</c:v>
                </c:pt>
                <c:pt idx="231">
                  <c:v>36.278550000000116</c:v>
                </c:pt>
                <c:pt idx="232">
                  <c:v>36.435600000000115</c:v>
                </c:pt>
                <c:pt idx="233">
                  <c:v>36.592650000000113</c:v>
                </c:pt>
                <c:pt idx="234">
                  <c:v>36.749700000000111</c:v>
                </c:pt>
                <c:pt idx="235">
                  <c:v>36.906750000000109</c:v>
                </c:pt>
                <c:pt idx="236">
                  <c:v>37.063800000000107</c:v>
                </c:pt>
                <c:pt idx="237">
                  <c:v>37.220850000000105</c:v>
                </c:pt>
                <c:pt idx="238">
                  <c:v>37.377900000000103</c:v>
                </c:pt>
                <c:pt idx="239">
                  <c:v>37.534950000000102</c:v>
                </c:pt>
                <c:pt idx="240">
                  <c:v>37.6920000000001</c:v>
                </c:pt>
                <c:pt idx="241">
                  <c:v>37.849050000000098</c:v>
                </c:pt>
                <c:pt idx="242">
                  <c:v>38.006100000000096</c:v>
                </c:pt>
                <c:pt idx="243">
                  <c:v>38.163150000000094</c:v>
                </c:pt>
                <c:pt idx="244">
                  <c:v>38.320200000000092</c:v>
                </c:pt>
                <c:pt idx="245">
                  <c:v>38.47725000000009</c:v>
                </c:pt>
                <c:pt idx="246">
                  <c:v>38.634300000000088</c:v>
                </c:pt>
                <c:pt idx="247">
                  <c:v>38.791350000000087</c:v>
                </c:pt>
                <c:pt idx="248">
                  <c:v>38.948400000000085</c:v>
                </c:pt>
                <c:pt idx="249">
                  <c:v>39.105450000000083</c:v>
                </c:pt>
                <c:pt idx="250">
                  <c:v>39.262500000000081</c:v>
                </c:pt>
                <c:pt idx="251">
                  <c:v>39.419550000000079</c:v>
                </c:pt>
                <c:pt idx="252">
                  <c:v>39.576600000000077</c:v>
                </c:pt>
                <c:pt idx="253">
                  <c:v>39.733650000000075</c:v>
                </c:pt>
                <c:pt idx="254">
                  <c:v>39.890700000000074</c:v>
                </c:pt>
                <c:pt idx="255">
                  <c:v>40.047750000000072</c:v>
                </c:pt>
                <c:pt idx="256">
                  <c:v>40.20480000000007</c:v>
                </c:pt>
                <c:pt idx="257">
                  <c:v>40.361850000000068</c:v>
                </c:pt>
                <c:pt idx="258">
                  <c:v>40.518900000000066</c:v>
                </c:pt>
                <c:pt idx="259">
                  <c:v>40.675950000000064</c:v>
                </c:pt>
                <c:pt idx="260">
                  <c:v>40.833000000000062</c:v>
                </c:pt>
                <c:pt idx="261">
                  <c:v>40.99005000000006</c:v>
                </c:pt>
                <c:pt idx="262">
                  <c:v>41.147100000000059</c:v>
                </c:pt>
                <c:pt idx="263">
                  <c:v>41.304150000000057</c:v>
                </c:pt>
                <c:pt idx="264">
                  <c:v>41.461200000000055</c:v>
                </c:pt>
                <c:pt idx="265">
                  <c:v>41.618250000000053</c:v>
                </c:pt>
                <c:pt idx="266">
                  <c:v>41.775300000000051</c:v>
                </c:pt>
                <c:pt idx="267">
                  <c:v>41.932350000000049</c:v>
                </c:pt>
                <c:pt idx="268">
                  <c:v>42.089400000000047</c:v>
                </c:pt>
                <c:pt idx="269">
                  <c:v>42.246450000000046</c:v>
                </c:pt>
                <c:pt idx="270">
                  <c:v>42.403500000000044</c:v>
                </c:pt>
                <c:pt idx="271">
                  <c:v>42.560550000000042</c:v>
                </c:pt>
                <c:pt idx="272">
                  <c:v>42.71760000000004</c:v>
                </c:pt>
                <c:pt idx="273">
                  <c:v>42.874650000000038</c:v>
                </c:pt>
                <c:pt idx="274">
                  <c:v>43.031700000000036</c:v>
                </c:pt>
                <c:pt idx="275">
                  <c:v>43.188750000000034</c:v>
                </c:pt>
                <c:pt idx="276">
                  <c:v>43.345800000000033</c:v>
                </c:pt>
                <c:pt idx="277">
                  <c:v>43.502850000000031</c:v>
                </c:pt>
                <c:pt idx="278">
                  <c:v>43.659900000000029</c:v>
                </c:pt>
                <c:pt idx="279">
                  <c:v>43.816950000000027</c:v>
                </c:pt>
                <c:pt idx="280">
                  <c:v>43.974000000000025</c:v>
                </c:pt>
                <c:pt idx="281">
                  <c:v>44.131050000000023</c:v>
                </c:pt>
                <c:pt idx="282">
                  <c:v>44.288100000000021</c:v>
                </c:pt>
                <c:pt idx="283">
                  <c:v>44.445150000000019</c:v>
                </c:pt>
                <c:pt idx="284">
                  <c:v>44.602200000000018</c:v>
                </c:pt>
                <c:pt idx="285">
                  <c:v>44.759250000000016</c:v>
                </c:pt>
                <c:pt idx="286">
                  <c:v>44.916300000000014</c:v>
                </c:pt>
                <c:pt idx="287">
                  <c:v>45.073350000000012</c:v>
                </c:pt>
                <c:pt idx="288">
                  <c:v>45.23040000000001</c:v>
                </c:pt>
                <c:pt idx="289">
                  <c:v>45.387450000000008</c:v>
                </c:pt>
                <c:pt idx="290">
                  <c:v>45.544500000000006</c:v>
                </c:pt>
                <c:pt idx="291">
                  <c:v>45.701550000000005</c:v>
                </c:pt>
                <c:pt idx="292">
                  <c:v>45.858600000000003</c:v>
                </c:pt>
                <c:pt idx="293">
                  <c:v>46.015650000000001</c:v>
                </c:pt>
                <c:pt idx="294">
                  <c:v>46.172699999999999</c:v>
                </c:pt>
                <c:pt idx="295">
                  <c:v>46.329749999999997</c:v>
                </c:pt>
                <c:pt idx="296">
                  <c:v>46.486799999999995</c:v>
                </c:pt>
                <c:pt idx="297">
                  <c:v>46.643849999999993</c:v>
                </c:pt>
                <c:pt idx="298">
                  <c:v>46.800899999999992</c:v>
                </c:pt>
                <c:pt idx="299">
                  <c:v>46.95794999999999</c:v>
                </c:pt>
                <c:pt idx="300">
                  <c:v>47.114999999999988</c:v>
                </c:pt>
                <c:pt idx="301">
                  <c:v>47.272049999999986</c:v>
                </c:pt>
                <c:pt idx="302">
                  <c:v>47.429099999999984</c:v>
                </c:pt>
                <c:pt idx="303">
                  <c:v>47.586149999999982</c:v>
                </c:pt>
                <c:pt idx="304">
                  <c:v>47.74319999999998</c:v>
                </c:pt>
                <c:pt idx="305">
                  <c:v>47.900249999999978</c:v>
                </c:pt>
                <c:pt idx="306">
                  <c:v>48.057299999999977</c:v>
                </c:pt>
                <c:pt idx="307">
                  <c:v>48.214349999999975</c:v>
                </c:pt>
                <c:pt idx="308">
                  <c:v>48.371399999999973</c:v>
                </c:pt>
                <c:pt idx="309">
                  <c:v>48.528449999999971</c:v>
                </c:pt>
                <c:pt idx="310">
                  <c:v>48.685499999999969</c:v>
                </c:pt>
                <c:pt idx="311">
                  <c:v>48.842549999999967</c:v>
                </c:pt>
                <c:pt idx="312">
                  <c:v>48.999599999999965</c:v>
                </c:pt>
                <c:pt idx="313">
                  <c:v>49.156649999999964</c:v>
                </c:pt>
                <c:pt idx="314">
                  <c:v>49.313699999999962</c:v>
                </c:pt>
                <c:pt idx="315">
                  <c:v>49.47074999999996</c:v>
                </c:pt>
                <c:pt idx="316">
                  <c:v>49.627799999999958</c:v>
                </c:pt>
                <c:pt idx="317">
                  <c:v>49.784849999999956</c:v>
                </c:pt>
                <c:pt idx="318">
                  <c:v>49.941899999999954</c:v>
                </c:pt>
                <c:pt idx="319">
                  <c:v>50.098949999999952</c:v>
                </c:pt>
                <c:pt idx="320">
                  <c:v>50.25599999999995</c:v>
                </c:pt>
                <c:pt idx="321">
                  <c:v>50.413049999999949</c:v>
                </c:pt>
                <c:pt idx="322">
                  <c:v>50.570099999999947</c:v>
                </c:pt>
                <c:pt idx="323">
                  <c:v>50.727149999999945</c:v>
                </c:pt>
                <c:pt idx="324">
                  <c:v>50.884199999999943</c:v>
                </c:pt>
                <c:pt idx="325">
                  <c:v>51.041249999999941</c:v>
                </c:pt>
                <c:pt idx="326">
                  <c:v>51.198299999999939</c:v>
                </c:pt>
                <c:pt idx="327">
                  <c:v>51.355349999999937</c:v>
                </c:pt>
                <c:pt idx="328">
                  <c:v>51.512399999999936</c:v>
                </c:pt>
                <c:pt idx="329">
                  <c:v>51.669449999999934</c:v>
                </c:pt>
                <c:pt idx="330">
                  <c:v>51.826499999999932</c:v>
                </c:pt>
                <c:pt idx="331">
                  <c:v>51.98354999999993</c:v>
                </c:pt>
                <c:pt idx="332">
                  <c:v>52.140599999999928</c:v>
                </c:pt>
                <c:pt idx="333">
                  <c:v>52.297649999999926</c:v>
                </c:pt>
                <c:pt idx="334">
                  <c:v>52.454699999999924</c:v>
                </c:pt>
                <c:pt idx="335">
                  <c:v>52.611749999999923</c:v>
                </c:pt>
                <c:pt idx="336">
                  <c:v>52.768799999999921</c:v>
                </c:pt>
                <c:pt idx="337">
                  <c:v>52.925849999999919</c:v>
                </c:pt>
                <c:pt idx="338">
                  <c:v>53.082899999999917</c:v>
                </c:pt>
                <c:pt idx="339">
                  <c:v>53.239949999999915</c:v>
                </c:pt>
                <c:pt idx="340">
                  <c:v>53.396999999999913</c:v>
                </c:pt>
                <c:pt idx="341">
                  <c:v>53.554049999999911</c:v>
                </c:pt>
                <c:pt idx="342">
                  <c:v>53.711099999999909</c:v>
                </c:pt>
                <c:pt idx="343">
                  <c:v>53.868149999999908</c:v>
                </c:pt>
                <c:pt idx="344">
                  <c:v>54.025199999999906</c:v>
                </c:pt>
                <c:pt idx="345">
                  <c:v>54.182249999999904</c:v>
                </c:pt>
                <c:pt idx="346">
                  <c:v>54.339299999999902</c:v>
                </c:pt>
                <c:pt idx="347">
                  <c:v>54.4963499999999</c:v>
                </c:pt>
                <c:pt idx="348">
                  <c:v>54.653399999999898</c:v>
                </c:pt>
                <c:pt idx="349">
                  <c:v>54.810449999999896</c:v>
                </c:pt>
                <c:pt idx="350">
                  <c:v>54.967499999999895</c:v>
                </c:pt>
                <c:pt idx="351">
                  <c:v>55.124549999999893</c:v>
                </c:pt>
                <c:pt idx="352">
                  <c:v>55.281599999999891</c:v>
                </c:pt>
                <c:pt idx="353">
                  <c:v>55.438649999999889</c:v>
                </c:pt>
                <c:pt idx="354">
                  <c:v>55.595699999999887</c:v>
                </c:pt>
                <c:pt idx="355">
                  <c:v>55.752749999999885</c:v>
                </c:pt>
                <c:pt idx="356">
                  <c:v>55.909799999999883</c:v>
                </c:pt>
                <c:pt idx="357">
                  <c:v>56.066849999999882</c:v>
                </c:pt>
                <c:pt idx="358">
                  <c:v>56.22389999999988</c:v>
                </c:pt>
                <c:pt idx="359">
                  <c:v>56.380949999999878</c:v>
                </c:pt>
                <c:pt idx="360">
                  <c:v>56.537999999999876</c:v>
                </c:pt>
                <c:pt idx="361">
                  <c:v>56.695049999999874</c:v>
                </c:pt>
                <c:pt idx="362">
                  <c:v>56.852099999999872</c:v>
                </c:pt>
                <c:pt idx="363">
                  <c:v>57.00914999999987</c:v>
                </c:pt>
                <c:pt idx="364">
                  <c:v>57.166199999999868</c:v>
                </c:pt>
                <c:pt idx="365">
                  <c:v>57.323249999999867</c:v>
                </c:pt>
                <c:pt idx="366">
                  <c:v>57.480299999999865</c:v>
                </c:pt>
                <c:pt idx="367">
                  <c:v>57.637349999999863</c:v>
                </c:pt>
                <c:pt idx="368">
                  <c:v>57.794399999999861</c:v>
                </c:pt>
                <c:pt idx="369">
                  <c:v>57.951449999999859</c:v>
                </c:pt>
                <c:pt idx="370">
                  <c:v>58.108499999999857</c:v>
                </c:pt>
                <c:pt idx="371">
                  <c:v>58.265549999999855</c:v>
                </c:pt>
                <c:pt idx="372">
                  <c:v>58.422599999999854</c:v>
                </c:pt>
                <c:pt idx="373">
                  <c:v>58.579649999999852</c:v>
                </c:pt>
                <c:pt idx="374">
                  <c:v>58.73669999999985</c:v>
                </c:pt>
                <c:pt idx="375">
                  <c:v>58.893749999999848</c:v>
                </c:pt>
                <c:pt idx="376">
                  <c:v>59.050799999999846</c:v>
                </c:pt>
                <c:pt idx="377">
                  <c:v>59.207849999999844</c:v>
                </c:pt>
                <c:pt idx="378">
                  <c:v>59.364899999999842</c:v>
                </c:pt>
                <c:pt idx="379">
                  <c:v>59.52194999999984</c:v>
                </c:pt>
                <c:pt idx="380">
                  <c:v>59.678999999999839</c:v>
                </c:pt>
                <c:pt idx="381">
                  <c:v>59.836049999999837</c:v>
                </c:pt>
                <c:pt idx="382">
                  <c:v>59.993099999999835</c:v>
                </c:pt>
                <c:pt idx="383">
                  <c:v>60.150149999999833</c:v>
                </c:pt>
                <c:pt idx="384">
                  <c:v>60.307199999999831</c:v>
                </c:pt>
                <c:pt idx="385">
                  <c:v>60.464249999999829</c:v>
                </c:pt>
                <c:pt idx="386">
                  <c:v>60.621299999999827</c:v>
                </c:pt>
                <c:pt idx="387">
                  <c:v>60.778349999999826</c:v>
                </c:pt>
                <c:pt idx="388">
                  <c:v>60.935399999999824</c:v>
                </c:pt>
                <c:pt idx="389">
                  <c:v>61.092449999999822</c:v>
                </c:pt>
                <c:pt idx="390">
                  <c:v>61.24949999999982</c:v>
                </c:pt>
                <c:pt idx="391">
                  <c:v>61.406549999999818</c:v>
                </c:pt>
                <c:pt idx="392">
                  <c:v>61.563599999999816</c:v>
                </c:pt>
                <c:pt idx="393">
                  <c:v>61.720649999999814</c:v>
                </c:pt>
                <c:pt idx="394">
                  <c:v>61.877699999999813</c:v>
                </c:pt>
                <c:pt idx="395">
                  <c:v>62.034749999999811</c:v>
                </c:pt>
                <c:pt idx="396">
                  <c:v>62.191799999999809</c:v>
                </c:pt>
                <c:pt idx="397">
                  <c:v>62.348849999999807</c:v>
                </c:pt>
                <c:pt idx="398">
                  <c:v>62.505899999999805</c:v>
                </c:pt>
                <c:pt idx="399">
                  <c:v>62.662949999999803</c:v>
                </c:pt>
                <c:pt idx="400">
                  <c:v>62.819999999999801</c:v>
                </c:pt>
                <c:pt idx="401">
                  <c:v>62.977049999999799</c:v>
                </c:pt>
                <c:pt idx="402">
                  <c:v>63.134099999999798</c:v>
                </c:pt>
                <c:pt idx="403">
                  <c:v>63.291149999999796</c:v>
                </c:pt>
                <c:pt idx="404">
                  <c:v>63.448199999999794</c:v>
                </c:pt>
                <c:pt idx="405">
                  <c:v>63.605249999999792</c:v>
                </c:pt>
                <c:pt idx="406">
                  <c:v>63.76229999999979</c:v>
                </c:pt>
                <c:pt idx="407">
                  <c:v>63.919349999999788</c:v>
                </c:pt>
                <c:pt idx="408">
                  <c:v>64.076399999999794</c:v>
                </c:pt>
                <c:pt idx="409">
                  <c:v>64.233449999999792</c:v>
                </c:pt>
                <c:pt idx="410">
                  <c:v>64.39049999999979</c:v>
                </c:pt>
                <c:pt idx="411">
                  <c:v>64.547549999999788</c:v>
                </c:pt>
                <c:pt idx="412">
                  <c:v>64.704599999999786</c:v>
                </c:pt>
                <c:pt idx="413">
                  <c:v>64.861649999999784</c:v>
                </c:pt>
                <c:pt idx="414">
                  <c:v>65.018699999999782</c:v>
                </c:pt>
                <c:pt idx="415">
                  <c:v>65.17574999999978</c:v>
                </c:pt>
                <c:pt idx="416">
                  <c:v>65.332799999999779</c:v>
                </c:pt>
                <c:pt idx="417">
                  <c:v>65.489849999999777</c:v>
                </c:pt>
                <c:pt idx="418">
                  <c:v>65.646899999999775</c:v>
                </c:pt>
                <c:pt idx="419">
                  <c:v>65.803949999999773</c:v>
                </c:pt>
                <c:pt idx="420">
                  <c:v>65.960999999999771</c:v>
                </c:pt>
                <c:pt idx="421">
                  <c:v>66.118049999999769</c:v>
                </c:pt>
                <c:pt idx="422">
                  <c:v>66.275099999999767</c:v>
                </c:pt>
                <c:pt idx="423">
                  <c:v>66.432149999999766</c:v>
                </c:pt>
                <c:pt idx="424">
                  <c:v>66.589199999999764</c:v>
                </c:pt>
                <c:pt idx="425">
                  <c:v>66.746249999999762</c:v>
                </c:pt>
                <c:pt idx="426">
                  <c:v>66.90329999999976</c:v>
                </c:pt>
                <c:pt idx="427">
                  <c:v>67.060349999999758</c:v>
                </c:pt>
                <c:pt idx="428">
                  <c:v>67.217399999999756</c:v>
                </c:pt>
                <c:pt idx="429">
                  <c:v>67.374449999999754</c:v>
                </c:pt>
                <c:pt idx="430">
                  <c:v>67.531499999999753</c:v>
                </c:pt>
                <c:pt idx="431">
                  <c:v>67.688549999999751</c:v>
                </c:pt>
                <c:pt idx="432">
                  <c:v>67.845599999999749</c:v>
                </c:pt>
                <c:pt idx="433">
                  <c:v>68.002649999999747</c:v>
                </c:pt>
                <c:pt idx="434">
                  <c:v>68.159699999999745</c:v>
                </c:pt>
                <c:pt idx="435">
                  <c:v>68.316749999999743</c:v>
                </c:pt>
                <c:pt idx="436">
                  <c:v>68.473799999999741</c:v>
                </c:pt>
                <c:pt idx="437">
                  <c:v>68.630849999999739</c:v>
                </c:pt>
                <c:pt idx="438">
                  <c:v>68.787899999999738</c:v>
                </c:pt>
                <c:pt idx="439">
                  <c:v>68.944949999999736</c:v>
                </c:pt>
                <c:pt idx="440">
                  <c:v>69.101999999999734</c:v>
                </c:pt>
                <c:pt idx="441">
                  <c:v>69.259049999999732</c:v>
                </c:pt>
                <c:pt idx="442">
                  <c:v>69.41609999999973</c:v>
                </c:pt>
                <c:pt idx="443">
                  <c:v>69.573149999999728</c:v>
                </c:pt>
                <c:pt idx="444">
                  <c:v>69.730199999999726</c:v>
                </c:pt>
                <c:pt idx="445">
                  <c:v>69.887249999999725</c:v>
                </c:pt>
                <c:pt idx="446">
                  <c:v>70.044299999999723</c:v>
                </c:pt>
                <c:pt idx="447">
                  <c:v>70.201349999999721</c:v>
                </c:pt>
                <c:pt idx="448">
                  <c:v>70.358399999999719</c:v>
                </c:pt>
                <c:pt idx="449">
                  <c:v>70.515449999999717</c:v>
                </c:pt>
                <c:pt idx="450">
                  <c:v>70.672499999999715</c:v>
                </c:pt>
                <c:pt idx="451">
                  <c:v>70.829549999999713</c:v>
                </c:pt>
                <c:pt idx="452">
                  <c:v>70.986599999999711</c:v>
                </c:pt>
                <c:pt idx="453">
                  <c:v>71.14364999999971</c:v>
                </c:pt>
                <c:pt idx="454">
                  <c:v>71.300699999999708</c:v>
                </c:pt>
                <c:pt idx="455">
                  <c:v>71.457749999999706</c:v>
                </c:pt>
                <c:pt idx="456">
                  <c:v>71.614799999999704</c:v>
                </c:pt>
                <c:pt idx="457">
                  <c:v>71.771849999999702</c:v>
                </c:pt>
                <c:pt idx="458">
                  <c:v>71.9288999999997</c:v>
                </c:pt>
                <c:pt idx="459">
                  <c:v>72.085949999999698</c:v>
                </c:pt>
                <c:pt idx="460">
                  <c:v>72.242999999999697</c:v>
                </c:pt>
                <c:pt idx="461">
                  <c:v>72.400049999999695</c:v>
                </c:pt>
                <c:pt idx="462">
                  <c:v>72.557099999999693</c:v>
                </c:pt>
                <c:pt idx="463">
                  <c:v>72.714149999999691</c:v>
                </c:pt>
                <c:pt idx="464">
                  <c:v>72.871199999999689</c:v>
                </c:pt>
                <c:pt idx="465">
                  <c:v>73.028249999999687</c:v>
                </c:pt>
                <c:pt idx="466">
                  <c:v>73.185299999999685</c:v>
                </c:pt>
                <c:pt idx="467">
                  <c:v>73.342349999999684</c:v>
                </c:pt>
                <c:pt idx="468">
                  <c:v>73.499399999999682</c:v>
                </c:pt>
                <c:pt idx="469">
                  <c:v>73.65644999999968</c:v>
                </c:pt>
                <c:pt idx="470">
                  <c:v>73.813499999999678</c:v>
                </c:pt>
                <c:pt idx="471">
                  <c:v>73.970549999999676</c:v>
                </c:pt>
                <c:pt idx="472">
                  <c:v>74.127599999999674</c:v>
                </c:pt>
                <c:pt idx="473">
                  <c:v>74.284649999999672</c:v>
                </c:pt>
                <c:pt idx="474">
                  <c:v>74.44169999999967</c:v>
                </c:pt>
                <c:pt idx="475">
                  <c:v>74.598749999999669</c:v>
                </c:pt>
                <c:pt idx="476">
                  <c:v>74.755799999999667</c:v>
                </c:pt>
                <c:pt idx="477">
                  <c:v>74.912849999999665</c:v>
                </c:pt>
                <c:pt idx="478">
                  <c:v>75.069899999999663</c:v>
                </c:pt>
                <c:pt idx="479">
                  <c:v>75.226949999999661</c:v>
                </c:pt>
                <c:pt idx="480">
                  <c:v>75.383999999999659</c:v>
                </c:pt>
                <c:pt idx="481">
                  <c:v>75.541049999999657</c:v>
                </c:pt>
                <c:pt idx="482">
                  <c:v>75.698099999999656</c:v>
                </c:pt>
                <c:pt idx="483">
                  <c:v>75.855149999999654</c:v>
                </c:pt>
                <c:pt idx="484">
                  <c:v>76.012199999999652</c:v>
                </c:pt>
                <c:pt idx="485">
                  <c:v>76.16924999999965</c:v>
                </c:pt>
                <c:pt idx="486">
                  <c:v>76.326299999999648</c:v>
                </c:pt>
                <c:pt idx="487">
                  <c:v>76.483349999999646</c:v>
                </c:pt>
                <c:pt idx="488">
                  <c:v>76.640399999999644</c:v>
                </c:pt>
                <c:pt idx="489">
                  <c:v>76.797449999999643</c:v>
                </c:pt>
                <c:pt idx="490">
                  <c:v>76.954499999999641</c:v>
                </c:pt>
                <c:pt idx="491">
                  <c:v>77.111549999999639</c:v>
                </c:pt>
                <c:pt idx="492">
                  <c:v>77.268599999999637</c:v>
                </c:pt>
                <c:pt idx="493">
                  <c:v>77.425649999999635</c:v>
                </c:pt>
                <c:pt idx="494">
                  <c:v>77.582699999999633</c:v>
                </c:pt>
                <c:pt idx="495">
                  <c:v>77.739749999999631</c:v>
                </c:pt>
                <c:pt idx="496">
                  <c:v>77.896799999999629</c:v>
                </c:pt>
                <c:pt idx="497">
                  <c:v>78.053849999999628</c:v>
                </c:pt>
                <c:pt idx="498">
                  <c:v>78.210899999999626</c:v>
                </c:pt>
                <c:pt idx="499">
                  <c:v>78.367949999999624</c:v>
                </c:pt>
                <c:pt idx="500">
                  <c:v>78.524999999999622</c:v>
                </c:pt>
                <c:pt idx="501">
                  <c:v>78.68204999999962</c:v>
                </c:pt>
                <c:pt idx="502">
                  <c:v>78.839099999999618</c:v>
                </c:pt>
                <c:pt idx="503">
                  <c:v>78.996149999999616</c:v>
                </c:pt>
                <c:pt idx="504">
                  <c:v>79.153199999999615</c:v>
                </c:pt>
                <c:pt idx="505">
                  <c:v>79.310249999999613</c:v>
                </c:pt>
                <c:pt idx="506">
                  <c:v>79.467299999999611</c:v>
                </c:pt>
                <c:pt idx="507">
                  <c:v>79.624349999999609</c:v>
                </c:pt>
                <c:pt idx="508">
                  <c:v>79.781399999999607</c:v>
                </c:pt>
                <c:pt idx="509">
                  <c:v>79.938449999999605</c:v>
                </c:pt>
                <c:pt idx="510">
                  <c:v>80.095499999999603</c:v>
                </c:pt>
                <c:pt idx="511">
                  <c:v>80.252549999999601</c:v>
                </c:pt>
                <c:pt idx="512">
                  <c:v>80.4095999999996</c:v>
                </c:pt>
                <c:pt idx="513">
                  <c:v>80.566649999999598</c:v>
                </c:pt>
                <c:pt idx="514">
                  <c:v>80.723699999999596</c:v>
                </c:pt>
                <c:pt idx="515">
                  <c:v>80.880749999999594</c:v>
                </c:pt>
                <c:pt idx="516">
                  <c:v>81.037799999999592</c:v>
                </c:pt>
                <c:pt idx="517">
                  <c:v>81.19484999999959</c:v>
                </c:pt>
                <c:pt idx="518">
                  <c:v>81.351899999999588</c:v>
                </c:pt>
                <c:pt idx="519">
                  <c:v>81.508949999999587</c:v>
                </c:pt>
                <c:pt idx="520">
                  <c:v>81.665999999999585</c:v>
                </c:pt>
                <c:pt idx="521">
                  <c:v>81.823049999999583</c:v>
                </c:pt>
                <c:pt idx="522">
                  <c:v>81.980099999999581</c:v>
                </c:pt>
                <c:pt idx="523">
                  <c:v>82.137149999999579</c:v>
                </c:pt>
                <c:pt idx="524">
                  <c:v>82.294199999999577</c:v>
                </c:pt>
                <c:pt idx="525">
                  <c:v>82.451249999999575</c:v>
                </c:pt>
                <c:pt idx="526">
                  <c:v>82.608299999999574</c:v>
                </c:pt>
                <c:pt idx="527">
                  <c:v>82.765349999999572</c:v>
                </c:pt>
                <c:pt idx="528">
                  <c:v>82.92239999999957</c:v>
                </c:pt>
                <c:pt idx="529">
                  <c:v>83.079449999999568</c:v>
                </c:pt>
                <c:pt idx="530">
                  <c:v>83.236499999999566</c:v>
                </c:pt>
                <c:pt idx="531">
                  <c:v>83.393549999999564</c:v>
                </c:pt>
                <c:pt idx="532">
                  <c:v>83.550599999999562</c:v>
                </c:pt>
                <c:pt idx="533">
                  <c:v>83.70764999999956</c:v>
                </c:pt>
                <c:pt idx="534">
                  <c:v>83.864699999999559</c:v>
                </c:pt>
                <c:pt idx="535">
                  <c:v>84.021749999999557</c:v>
                </c:pt>
                <c:pt idx="536">
                  <c:v>84.178799999999555</c:v>
                </c:pt>
                <c:pt idx="537">
                  <c:v>84.335849999999553</c:v>
                </c:pt>
                <c:pt idx="538">
                  <c:v>84.492899999999551</c:v>
                </c:pt>
                <c:pt idx="539">
                  <c:v>84.649949999999549</c:v>
                </c:pt>
                <c:pt idx="540">
                  <c:v>84.806999999999547</c:v>
                </c:pt>
                <c:pt idx="541">
                  <c:v>84.964049999999546</c:v>
                </c:pt>
                <c:pt idx="542">
                  <c:v>85.121099999999544</c:v>
                </c:pt>
                <c:pt idx="543">
                  <c:v>85.278149999999542</c:v>
                </c:pt>
                <c:pt idx="544">
                  <c:v>85.43519999999954</c:v>
                </c:pt>
                <c:pt idx="545">
                  <c:v>85.592249999999538</c:v>
                </c:pt>
                <c:pt idx="546">
                  <c:v>85.749299999999536</c:v>
                </c:pt>
                <c:pt idx="547">
                  <c:v>85.906349999999534</c:v>
                </c:pt>
                <c:pt idx="548">
                  <c:v>86.063399999999532</c:v>
                </c:pt>
                <c:pt idx="549">
                  <c:v>86.220449999999531</c:v>
                </c:pt>
                <c:pt idx="550">
                  <c:v>86.377499999999529</c:v>
                </c:pt>
                <c:pt idx="551">
                  <c:v>86.534549999999527</c:v>
                </c:pt>
                <c:pt idx="552">
                  <c:v>86.691599999999525</c:v>
                </c:pt>
                <c:pt idx="553">
                  <c:v>86.848649999999523</c:v>
                </c:pt>
                <c:pt idx="554">
                  <c:v>87.005699999999521</c:v>
                </c:pt>
                <c:pt idx="555">
                  <c:v>87.162749999999519</c:v>
                </c:pt>
                <c:pt idx="556">
                  <c:v>87.319799999999518</c:v>
                </c:pt>
                <c:pt idx="557">
                  <c:v>87.476849999999516</c:v>
                </c:pt>
                <c:pt idx="558">
                  <c:v>87.633899999999514</c:v>
                </c:pt>
                <c:pt idx="559">
                  <c:v>87.790949999999512</c:v>
                </c:pt>
                <c:pt idx="560">
                  <c:v>87.94799999999951</c:v>
                </c:pt>
                <c:pt idx="561">
                  <c:v>88.105049999999508</c:v>
                </c:pt>
                <c:pt idx="562">
                  <c:v>88.262099999999506</c:v>
                </c:pt>
                <c:pt idx="563">
                  <c:v>88.419149999999505</c:v>
                </c:pt>
                <c:pt idx="564">
                  <c:v>88.576199999999503</c:v>
                </c:pt>
                <c:pt idx="565">
                  <c:v>88.733249999999501</c:v>
                </c:pt>
                <c:pt idx="566">
                  <c:v>88.890299999999499</c:v>
                </c:pt>
                <c:pt idx="567">
                  <c:v>89.047349999999497</c:v>
                </c:pt>
                <c:pt idx="568">
                  <c:v>89.204399999999495</c:v>
                </c:pt>
                <c:pt idx="569">
                  <c:v>89.361449999999493</c:v>
                </c:pt>
                <c:pt idx="570">
                  <c:v>89.518499999999491</c:v>
                </c:pt>
                <c:pt idx="571">
                  <c:v>89.67554999999949</c:v>
                </c:pt>
                <c:pt idx="572">
                  <c:v>89.832599999999488</c:v>
                </c:pt>
                <c:pt idx="573">
                  <c:v>89.989649999999486</c:v>
                </c:pt>
                <c:pt idx="574">
                  <c:v>90.146699999999484</c:v>
                </c:pt>
                <c:pt idx="575">
                  <c:v>90.303749999999482</c:v>
                </c:pt>
                <c:pt idx="576">
                  <c:v>90.46079999999948</c:v>
                </c:pt>
                <c:pt idx="577">
                  <c:v>90.617849999999478</c:v>
                </c:pt>
                <c:pt idx="578">
                  <c:v>90.774899999999477</c:v>
                </c:pt>
                <c:pt idx="579">
                  <c:v>90.931949999999475</c:v>
                </c:pt>
                <c:pt idx="580">
                  <c:v>91.088999999999473</c:v>
                </c:pt>
                <c:pt idx="581">
                  <c:v>91.246049999999471</c:v>
                </c:pt>
                <c:pt idx="582">
                  <c:v>91.403099999999469</c:v>
                </c:pt>
                <c:pt idx="583">
                  <c:v>91.560149999999467</c:v>
                </c:pt>
                <c:pt idx="584">
                  <c:v>91.717199999999465</c:v>
                </c:pt>
                <c:pt idx="585">
                  <c:v>91.874249999999464</c:v>
                </c:pt>
                <c:pt idx="586">
                  <c:v>92.031299999999462</c:v>
                </c:pt>
                <c:pt idx="587">
                  <c:v>92.18834999999946</c:v>
                </c:pt>
                <c:pt idx="588">
                  <c:v>92.345399999999458</c:v>
                </c:pt>
                <c:pt idx="589">
                  <c:v>92.502449999999456</c:v>
                </c:pt>
                <c:pt idx="590">
                  <c:v>92.659499999999454</c:v>
                </c:pt>
                <c:pt idx="591">
                  <c:v>92.816549999999452</c:v>
                </c:pt>
                <c:pt idx="592">
                  <c:v>92.97359999999945</c:v>
                </c:pt>
                <c:pt idx="593">
                  <c:v>93.130649999999449</c:v>
                </c:pt>
                <c:pt idx="594">
                  <c:v>93.287699999999447</c:v>
                </c:pt>
                <c:pt idx="595">
                  <c:v>93.444749999999445</c:v>
                </c:pt>
                <c:pt idx="596">
                  <c:v>93.601799999999443</c:v>
                </c:pt>
                <c:pt idx="597">
                  <c:v>93.758849999999441</c:v>
                </c:pt>
                <c:pt idx="598">
                  <c:v>93.915899999999439</c:v>
                </c:pt>
                <c:pt idx="599">
                  <c:v>94.072949999999437</c:v>
                </c:pt>
                <c:pt idx="600">
                  <c:v>94.229999999999436</c:v>
                </c:pt>
                <c:pt idx="601">
                  <c:v>94.387049999999434</c:v>
                </c:pt>
                <c:pt idx="602">
                  <c:v>94.544099999999432</c:v>
                </c:pt>
                <c:pt idx="603">
                  <c:v>94.70114999999943</c:v>
                </c:pt>
                <c:pt idx="604">
                  <c:v>94.858199999999428</c:v>
                </c:pt>
                <c:pt idx="605">
                  <c:v>95.015249999999426</c:v>
                </c:pt>
                <c:pt idx="606">
                  <c:v>95.172299999999424</c:v>
                </c:pt>
                <c:pt idx="607">
                  <c:v>95.329349999999422</c:v>
                </c:pt>
                <c:pt idx="608">
                  <c:v>95.486399999999421</c:v>
                </c:pt>
                <c:pt idx="609">
                  <c:v>95.643449999999419</c:v>
                </c:pt>
                <c:pt idx="610">
                  <c:v>95.800499999999417</c:v>
                </c:pt>
                <c:pt idx="611">
                  <c:v>95.957549999999415</c:v>
                </c:pt>
                <c:pt idx="612">
                  <c:v>96.114599999999413</c:v>
                </c:pt>
                <c:pt idx="613">
                  <c:v>96.271649999999411</c:v>
                </c:pt>
                <c:pt idx="614">
                  <c:v>96.428699999999409</c:v>
                </c:pt>
                <c:pt idx="615">
                  <c:v>96.585749999999408</c:v>
                </c:pt>
                <c:pt idx="616">
                  <c:v>96.742799999999406</c:v>
                </c:pt>
                <c:pt idx="617">
                  <c:v>96.899849999999404</c:v>
                </c:pt>
                <c:pt idx="618">
                  <c:v>97.056899999999402</c:v>
                </c:pt>
                <c:pt idx="619">
                  <c:v>97.2139499999994</c:v>
                </c:pt>
                <c:pt idx="620">
                  <c:v>97.370999999999398</c:v>
                </c:pt>
                <c:pt idx="621">
                  <c:v>97.528049999999396</c:v>
                </c:pt>
                <c:pt idx="622">
                  <c:v>97.685099999999395</c:v>
                </c:pt>
                <c:pt idx="623">
                  <c:v>97.842149999999393</c:v>
                </c:pt>
                <c:pt idx="624">
                  <c:v>97.999199999999391</c:v>
                </c:pt>
                <c:pt idx="625">
                  <c:v>98.156249999999389</c:v>
                </c:pt>
                <c:pt idx="626">
                  <c:v>98.313299999999387</c:v>
                </c:pt>
                <c:pt idx="627">
                  <c:v>98.470349999999385</c:v>
                </c:pt>
                <c:pt idx="628">
                  <c:v>98.627399999999383</c:v>
                </c:pt>
                <c:pt idx="629">
                  <c:v>98.784449999999381</c:v>
                </c:pt>
                <c:pt idx="630">
                  <c:v>98.94149999999938</c:v>
                </c:pt>
                <c:pt idx="631">
                  <c:v>99.098549999999378</c:v>
                </c:pt>
                <c:pt idx="632">
                  <c:v>99.255599999999376</c:v>
                </c:pt>
                <c:pt idx="633">
                  <c:v>99.412649999999374</c:v>
                </c:pt>
                <c:pt idx="634">
                  <c:v>99.569699999999372</c:v>
                </c:pt>
                <c:pt idx="635">
                  <c:v>99.72674999999937</c:v>
                </c:pt>
                <c:pt idx="636">
                  <c:v>99.883799999999368</c:v>
                </c:pt>
                <c:pt idx="637">
                  <c:v>100.04084999999937</c:v>
                </c:pt>
                <c:pt idx="638">
                  <c:v>100.19789999999936</c:v>
                </c:pt>
                <c:pt idx="639">
                  <c:v>100.35494999999936</c:v>
                </c:pt>
                <c:pt idx="640">
                  <c:v>100.51199999999936</c:v>
                </c:pt>
                <c:pt idx="641">
                  <c:v>100.66904999999936</c:v>
                </c:pt>
                <c:pt idx="642">
                  <c:v>100.82609999999936</c:v>
                </c:pt>
                <c:pt idx="643">
                  <c:v>100.98314999999936</c:v>
                </c:pt>
                <c:pt idx="644">
                  <c:v>101.14019999999935</c:v>
                </c:pt>
                <c:pt idx="645">
                  <c:v>101.29724999999935</c:v>
                </c:pt>
                <c:pt idx="646">
                  <c:v>101.45429999999935</c:v>
                </c:pt>
                <c:pt idx="647">
                  <c:v>101.61134999999935</c:v>
                </c:pt>
                <c:pt idx="648">
                  <c:v>101.76839999999935</c:v>
                </c:pt>
                <c:pt idx="649">
                  <c:v>101.92544999999934</c:v>
                </c:pt>
                <c:pt idx="650">
                  <c:v>102.08249999999934</c:v>
                </c:pt>
                <c:pt idx="651">
                  <c:v>102.23954999999934</c:v>
                </c:pt>
                <c:pt idx="652">
                  <c:v>102.39659999999934</c:v>
                </c:pt>
                <c:pt idx="653">
                  <c:v>102.55364999999934</c:v>
                </c:pt>
                <c:pt idx="654">
                  <c:v>102.71069999999933</c:v>
                </c:pt>
                <c:pt idx="655">
                  <c:v>102.86774999999933</c:v>
                </c:pt>
                <c:pt idx="656">
                  <c:v>103.02479999999933</c:v>
                </c:pt>
                <c:pt idx="657">
                  <c:v>103.18184999999933</c:v>
                </c:pt>
                <c:pt idx="658">
                  <c:v>103.33889999999933</c:v>
                </c:pt>
                <c:pt idx="659">
                  <c:v>103.49594999999933</c:v>
                </c:pt>
                <c:pt idx="660">
                  <c:v>103.65299999999932</c:v>
                </c:pt>
                <c:pt idx="661">
                  <c:v>103.81004999999932</c:v>
                </c:pt>
                <c:pt idx="662">
                  <c:v>103.96709999999932</c:v>
                </c:pt>
                <c:pt idx="663">
                  <c:v>104.12414999999932</c:v>
                </c:pt>
                <c:pt idx="664">
                  <c:v>104.28119999999932</c:v>
                </c:pt>
                <c:pt idx="665">
                  <c:v>104.43824999999931</c:v>
                </c:pt>
                <c:pt idx="666">
                  <c:v>104.59529999999931</c:v>
                </c:pt>
                <c:pt idx="667">
                  <c:v>104.75234999999931</c:v>
                </c:pt>
                <c:pt idx="668">
                  <c:v>104.90939999999931</c:v>
                </c:pt>
                <c:pt idx="669">
                  <c:v>105.06644999999931</c:v>
                </c:pt>
                <c:pt idx="670">
                  <c:v>105.22349999999931</c:v>
                </c:pt>
                <c:pt idx="671">
                  <c:v>105.3805499999993</c:v>
                </c:pt>
                <c:pt idx="672">
                  <c:v>105.5375999999993</c:v>
                </c:pt>
                <c:pt idx="673">
                  <c:v>105.6946499999993</c:v>
                </c:pt>
                <c:pt idx="674">
                  <c:v>105.8516999999993</c:v>
                </c:pt>
                <c:pt idx="675">
                  <c:v>106.0087499999993</c:v>
                </c:pt>
                <c:pt idx="676">
                  <c:v>106.16579999999929</c:v>
                </c:pt>
                <c:pt idx="677">
                  <c:v>106.32284999999929</c:v>
                </c:pt>
                <c:pt idx="678">
                  <c:v>106.47989999999929</c:v>
                </c:pt>
                <c:pt idx="679">
                  <c:v>106.63694999999929</c:v>
                </c:pt>
                <c:pt idx="680">
                  <c:v>106.79399999999929</c:v>
                </c:pt>
                <c:pt idx="681">
                  <c:v>106.95104999999928</c:v>
                </c:pt>
                <c:pt idx="682">
                  <c:v>107.10809999999928</c:v>
                </c:pt>
                <c:pt idx="683">
                  <c:v>107.26514999999928</c:v>
                </c:pt>
                <c:pt idx="684">
                  <c:v>107.42219999999928</c:v>
                </c:pt>
                <c:pt idx="685">
                  <c:v>107.57924999999928</c:v>
                </c:pt>
                <c:pt idx="686">
                  <c:v>107.73629999999928</c:v>
                </c:pt>
                <c:pt idx="687">
                  <c:v>107.89334999999927</c:v>
                </c:pt>
                <c:pt idx="688">
                  <c:v>108.05039999999927</c:v>
                </c:pt>
                <c:pt idx="689">
                  <c:v>108.20744999999927</c:v>
                </c:pt>
                <c:pt idx="690">
                  <c:v>108.36449999999927</c:v>
                </c:pt>
                <c:pt idx="691">
                  <c:v>108.52154999999927</c:v>
                </c:pt>
                <c:pt idx="692">
                  <c:v>108.67859999999926</c:v>
                </c:pt>
                <c:pt idx="693">
                  <c:v>108.83564999999926</c:v>
                </c:pt>
                <c:pt idx="694">
                  <c:v>108.99269999999926</c:v>
                </c:pt>
                <c:pt idx="695">
                  <c:v>109.14974999999926</c:v>
                </c:pt>
                <c:pt idx="696">
                  <c:v>109.30679999999926</c:v>
                </c:pt>
                <c:pt idx="697">
                  <c:v>109.46384999999925</c:v>
                </c:pt>
                <c:pt idx="698">
                  <c:v>109.62089999999925</c:v>
                </c:pt>
                <c:pt idx="699">
                  <c:v>109.77794999999925</c:v>
                </c:pt>
                <c:pt idx="700">
                  <c:v>109.93499999999925</c:v>
                </c:pt>
                <c:pt idx="701">
                  <c:v>110.09204999999925</c:v>
                </c:pt>
                <c:pt idx="702">
                  <c:v>110.24909999999925</c:v>
                </c:pt>
                <c:pt idx="703">
                  <c:v>110.40614999999924</c:v>
                </c:pt>
                <c:pt idx="704">
                  <c:v>110.56319999999924</c:v>
                </c:pt>
                <c:pt idx="705">
                  <c:v>110.72024999999924</c:v>
                </c:pt>
                <c:pt idx="706">
                  <c:v>110.87729999999924</c:v>
                </c:pt>
                <c:pt idx="707">
                  <c:v>111.03434999999924</c:v>
                </c:pt>
                <c:pt idx="708">
                  <c:v>111.19139999999923</c:v>
                </c:pt>
                <c:pt idx="709">
                  <c:v>111.34844999999923</c:v>
                </c:pt>
                <c:pt idx="710">
                  <c:v>111.50549999999923</c:v>
                </c:pt>
                <c:pt idx="711">
                  <c:v>111.66254999999923</c:v>
                </c:pt>
                <c:pt idx="712">
                  <c:v>111.81959999999923</c:v>
                </c:pt>
                <c:pt idx="713">
                  <c:v>111.97664999999922</c:v>
                </c:pt>
                <c:pt idx="714">
                  <c:v>112.13369999999922</c:v>
                </c:pt>
                <c:pt idx="715">
                  <c:v>112.29074999999922</c:v>
                </c:pt>
                <c:pt idx="716">
                  <c:v>112.44779999999922</c:v>
                </c:pt>
                <c:pt idx="717">
                  <c:v>112.60484999999922</c:v>
                </c:pt>
                <c:pt idx="718">
                  <c:v>112.76189999999922</c:v>
                </c:pt>
                <c:pt idx="719">
                  <c:v>112.91894999999921</c:v>
                </c:pt>
                <c:pt idx="720">
                  <c:v>113.07599999999921</c:v>
                </c:pt>
                <c:pt idx="721">
                  <c:v>113.23304999999921</c:v>
                </c:pt>
                <c:pt idx="722">
                  <c:v>113.39009999999921</c:v>
                </c:pt>
                <c:pt idx="723">
                  <c:v>113.54714999999921</c:v>
                </c:pt>
                <c:pt idx="724">
                  <c:v>113.7041999999992</c:v>
                </c:pt>
                <c:pt idx="725">
                  <c:v>113.8612499999992</c:v>
                </c:pt>
                <c:pt idx="726">
                  <c:v>114.0182999999992</c:v>
                </c:pt>
                <c:pt idx="727">
                  <c:v>114.1753499999992</c:v>
                </c:pt>
                <c:pt idx="728">
                  <c:v>114.3323999999992</c:v>
                </c:pt>
                <c:pt idx="729">
                  <c:v>114.4894499999992</c:v>
                </c:pt>
                <c:pt idx="730">
                  <c:v>114.64649999999919</c:v>
                </c:pt>
                <c:pt idx="731">
                  <c:v>114.80354999999919</c:v>
                </c:pt>
                <c:pt idx="732">
                  <c:v>114.96059999999919</c:v>
                </c:pt>
                <c:pt idx="733">
                  <c:v>115.11764999999919</c:v>
                </c:pt>
                <c:pt idx="734">
                  <c:v>115.27469999999919</c:v>
                </c:pt>
                <c:pt idx="735">
                  <c:v>115.43174999999918</c:v>
                </c:pt>
                <c:pt idx="736">
                  <c:v>115.58879999999918</c:v>
                </c:pt>
                <c:pt idx="737">
                  <c:v>115.74584999999918</c:v>
                </c:pt>
                <c:pt idx="738">
                  <c:v>115.90289999999918</c:v>
                </c:pt>
                <c:pt idx="739">
                  <c:v>116.05994999999918</c:v>
                </c:pt>
                <c:pt idx="740">
                  <c:v>116.21699999999917</c:v>
                </c:pt>
                <c:pt idx="741">
                  <c:v>116.37404999999917</c:v>
                </c:pt>
                <c:pt idx="742">
                  <c:v>116.53109999999917</c:v>
                </c:pt>
                <c:pt idx="743">
                  <c:v>116.68814999999917</c:v>
                </c:pt>
                <c:pt idx="744">
                  <c:v>116.84519999999917</c:v>
                </c:pt>
                <c:pt idx="745">
                  <c:v>117.00224999999917</c:v>
                </c:pt>
                <c:pt idx="746">
                  <c:v>117.15929999999916</c:v>
                </c:pt>
                <c:pt idx="747">
                  <c:v>117.31634999999916</c:v>
                </c:pt>
                <c:pt idx="748">
                  <c:v>117.47339999999916</c:v>
                </c:pt>
                <c:pt idx="749">
                  <c:v>117.63044999999916</c:v>
                </c:pt>
                <c:pt idx="750">
                  <c:v>117.78749999999916</c:v>
                </c:pt>
                <c:pt idx="751">
                  <c:v>117.94454999999915</c:v>
                </c:pt>
                <c:pt idx="752">
                  <c:v>118.10159999999915</c:v>
                </c:pt>
                <c:pt idx="753">
                  <c:v>118.25864999999915</c:v>
                </c:pt>
                <c:pt idx="754">
                  <c:v>118.41569999999915</c:v>
                </c:pt>
                <c:pt idx="755">
                  <c:v>118.57274999999915</c:v>
                </c:pt>
                <c:pt idx="756">
                  <c:v>118.72979999999914</c:v>
                </c:pt>
                <c:pt idx="757">
                  <c:v>118.88684999999914</c:v>
                </c:pt>
                <c:pt idx="758">
                  <c:v>119.04389999999914</c:v>
                </c:pt>
                <c:pt idx="759">
                  <c:v>119.20094999999914</c:v>
                </c:pt>
                <c:pt idx="760">
                  <c:v>119.35799999999914</c:v>
                </c:pt>
                <c:pt idx="761">
                  <c:v>119.51504999999914</c:v>
                </c:pt>
                <c:pt idx="762">
                  <c:v>119.67209999999913</c:v>
                </c:pt>
                <c:pt idx="763">
                  <c:v>119.82914999999913</c:v>
                </c:pt>
                <c:pt idx="764">
                  <c:v>119.98619999999913</c:v>
                </c:pt>
                <c:pt idx="765">
                  <c:v>120.14324999999913</c:v>
                </c:pt>
                <c:pt idx="766">
                  <c:v>120.30029999999913</c:v>
                </c:pt>
                <c:pt idx="767">
                  <c:v>120.45734999999912</c:v>
                </c:pt>
                <c:pt idx="768">
                  <c:v>120.61439999999912</c:v>
                </c:pt>
                <c:pt idx="769">
                  <c:v>120.77144999999912</c:v>
                </c:pt>
                <c:pt idx="770">
                  <c:v>120.92849999999912</c:v>
                </c:pt>
                <c:pt idx="771">
                  <c:v>121.08554999999912</c:v>
                </c:pt>
                <c:pt idx="772">
                  <c:v>121.24259999999911</c:v>
                </c:pt>
                <c:pt idx="773">
                  <c:v>121.39964999999911</c:v>
                </c:pt>
                <c:pt idx="774">
                  <c:v>121.55669999999911</c:v>
                </c:pt>
                <c:pt idx="775">
                  <c:v>121.71374999999911</c:v>
                </c:pt>
                <c:pt idx="776">
                  <c:v>121.87079999999911</c:v>
                </c:pt>
                <c:pt idx="777">
                  <c:v>122.02784999999911</c:v>
                </c:pt>
                <c:pt idx="778">
                  <c:v>122.1848999999991</c:v>
                </c:pt>
                <c:pt idx="779">
                  <c:v>122.3419499999991</c:v>
                </c:pt>
                <c:pt idx="780">
                  <c:v>122.4989999999991</c:v>
                </c:pt>
                <c:pt idx="781">
                  <c:v>122.6560499999991</c:v>
                </c:pt>
                <c:pt idx="782">
                  <c:v>122.8130999999991</c:v>
                </c:pt>
                <c:pt idx="783">
                  <c:v>122.97014999999909</c:v>
                </c:pt>
                <c:pt idx="784">
                  <c:v>123.12719999999909</c:v>
                </c:pt>
                <c:pt idx="785">
                  <c:v>123.28424999999909</c:v>
                </c:pt>
                <c:pt idx="786">
                  <c:v>123.44129999999909</c:v>
                </c:pt>
                <c:pt idx="787">
                  <c:v>123.59834999999909</c:v>
                </c:pt>
                <c:pt idx="788">
                  <c:v>123.75539999999909</c:v>
                </c:pt>
                <c:pt idx="789">
                  <c:v>123.91244999999908</c:v>
                </c:pt>
                <c:pt idx="790">
                  <c:v>124.06949999999908</c:v>
                </c:pt>
                <c:pt idx="791">
                  <c:v>124.22654999999908</c:v>
                </c:pt>
                <c:pt idx="792">
                  <c:v>124.38359999999908</c:v>
                </c:pt>
                <c:pt idx="793">
                  <c:v>124.54064999999908</c:v>
                </c:pt>
                <c:pt idx="794">
                  <c:v>124.69769999999907</c:v>
                </c:pt>
                <c:pt idx="795">
                  <c:v>124.85474999999907</c:v>
                </c:pt>
                <c:pt idx="796">
                  <c:v>125.01179999999907</c:v>
                </c:pt>
                <c:pt idx="797">
                  <c:v>125.16884999999907</c:v>
                </c:pt>
                <c:pt idx="798">
                  <c:v>125.32589999999907</c:v>
                </c:pt>
                <c:pt idx="799">
                  <c:v>125.48294999999906</c:v>
                </c:pt>
                <c:pt idx="800">
                  <c:v>125.63999999999906</c:v>
                </c:pt>
                <c:pt idx="801">
                  <c:v>125.79704999999906</c:v>
                </c:pt>
                <c:pt idx="802">
                  <c:v>125.95409999999906</c:v>
                </c:pt>
                <c:pt idx="803">
                  <c:v>126.11114999999906</c:v>
                </c:pt>
                <c:pt idx="804">
                  <c:v>126.26819999999906</c:v>
                </c:pt>
                <c:pt idx="805">
                  <c:v>126.42524999999905</c:v>
                </c:pt>
                <c:pt idx="806">
                  <c:v>126.58229999999905</c:v>
                </c:pt>
                <c:pt idx="807">
                  <c:v>126.73934999999905</c:v>
                </c:pt>
                <c:pt idx="808">
                  <c:v>126.89639999999905</c:v>
                </c:pt>
                <c:pt idx="809">
                  <c:v>127.05344999999905</c:v>
                </c:pt>
                <c:pt idx="810">
                  <c:v>127.21049999999904</c:v>
                </c:pt>
                <c:pt idx="811">
                  <c:v>127.36754999999904</c:v>
                </c:pt>
                <c:pt idx="812">
                  <c:v>127.52459999999904</c:v>
                </c:pt>
                <c:pt idx="813">
                  <c:v>127.68164999999904</c:v>
                </c:pt>
                <c:pt idx="814">
                  <c:v>127.83869999999904</c:v>
                </c:pt>
                <c:pt idx="815">
                  <c:v>127.99574999999903</c:v>
                </c:pt>
                <c:pt idx="816">
                  <c:v>128.15279999999905</c:v>
                </c:pt>
                <c:pt idx="817">
                  <c:v>128.30984999999905</c:v>
                </c:pt>
                <c:pt idx="818">
                  <c:v>128.46689999999904</c:v>
                </c:pt>
                <c:pt idx="819">
                  <c:v>128.62394999999904</c:v>
                </c:pt>
                <c:pt idx="820">
                  <c:v>128.78099999999904</c:v>
                </c:pt>
                <c:pt idx="821">
                  <c:v>128.93804999999904</c:v>
                </c:pt>
                <c:pt idx="822">
                  <c:v>129.09509999999904</c:v>
                </c:pt>
                <c:pt idx="823">
                  <c:v>129.25214999999903</c:v>
                </c:pt>
                <c:pt idx="824">
                  <c:v>129.40919999999903</c:v>
                </c:pt>
                <c:pt idx="825">
                  <c:v>129.56624999999903</c:v>
                </c:pt>
                <c:pt idx="826">
                  <c:v>129.72329999999903</c:v>
                </c:pt>
                <c:pt idx="827">
                  <c:v>129.88034999999903</c:v>
                </c:pt>
                <c:pt idx="828">
                  <c:v>130.03739999999902</c:v>
                </c:pt>
                <c:pt idx="829">
                  <c:v>130.19444999999902</c:v>
                </c:pt>
                <c:pt idx="830">
                  <c:v>130.35149999999902</c:v>
                </c:pt>
                <c:pt idx="831">
                  <c:v>130.50854999999902</c:v>
                </c:pt>
                <c:pt idx="832">
                  <c:v>130.66559999999902</c:v>
                </c:pt>
                <c:pt idx="833">
                  <c:v>130.82264999999902</c:v>
                </c:pt>
                <c:pt idx="834">
                  <c:v>130.97969999999901</c:v>
                </c:pt>
                <c:pt idx="835">
                  <c:v>131.13674999999901</c:v>
                </c:pt>
                <c:pt idx="836">
                  <c:v>131.29379999999901</c:v>
                </c:pt>
                <c:pt idx="837">
                  <c:v>131.45084999999901</c:v>
                </c:pt>
                <c:pt idx="838">
                  <c:v>131.60789999999901</c:v>
                </c:pt>
                <c:pt idx="839">
                  <c:v>131.764949999999</c:v>
                </c:pt>
                <c:pt idx="840">
                  <c:v>131.921999999999</c:v>
                </c:pt>
                <c:pt idx="841">
                  <c:v>132.079049999999</c:v>
                </c:pt>
                <c:pt idx="842">
                  <c:v>132.236099999999</c:v>
                </c:pt>
                <c:pt idx="843">
                  <c:v>132.393149999999</c:v>
                </c:pt>
                <c:pt idx="844">
                  <c:v>132.55019999999899</c:v>
                </c:pt>
                <c:pt idx="845">
                  <c:v>132.70724999999899</c:v>
                </c:pt>
                <c:pt idx="846">
                  <c:v>132.86429999999899</c:v>
                </c:pt>
                <c:pt idx="847">
                  <c:v>133.02134999999899</c:v>
                </c:pt>
                <c:pt idx="848">
                  <c:v>133.17839999999899</c:v>
                </c:pt>
                <c:pt idx="849">
                  <c:v>133.33544999999899</c:v>
                </c:pt>
                <c:pt idx="850">
                  <c:v>133.49249999999898</c:v>
                </c:pt>
                <c:pt idx="851">
                  <c:v>133.64954999999898</c:v>
                </c:pt>
                <c:pt idx="852">
                  <c:v>133.80659999999898</c:v>
                </c:pt>
                <c:pt idx="853">
                  <c:v>133.96364999999898</c:v>
                </c:pt>
                <c:pt idx="854">
                  <c:v>134.12069999999898</c:v>
                </c:pt>
                <c:pt idx="855">
                  <c:v>134.27774999999897</c:v>
                </c:pt>
                <c:pt idx="856">
                  <c:v>134.43479999999897</c:v>
                </c:pt>
                <c:pt idx="857">
                  <c:v>134.59184999999897</c:v>
                </c:pt>
                <c:pt idx="858">
                  <c:v>134.74889999999897</c:v>
                </c:pt>
                <c:pt idx="859">
                  <c:v>134.90594999999897</c:v>
                </c:pt>
                <c:pt idx="860">
                  <c:v>135.06299999999896</c:v>
                </c:pt>
                <c:pt idx="861">
                  <c:v>135.22004999999896</c:v>
                </c:pt>
                <c:pt idx="862">
                  <c:v>135.37709999999896</c:v>
                </c:pt>
                <c:pt idx="863">
                  <c:v>135.53414999999896</c:v>
                </c:pt>
                <c:pt idx="864">
                  <c:v>135.69119999999896</c:v>
                </c:pt>
                <c:pt idx="865">
                  <c:v>135.84824999999896</c:v>
                </c:pt>
                <c:pt idx="866">
                  <c:v>136.00529999999895</c:v>
                </c:pt>
                <c:pt idx="867">
                  <c:v>136.16234999999895</c:v>
                </c:pt>
                <c:pt idx="868">
                  <c:v>136.31939999999895</c:v>
                </c:pt>
                <c:pt idx="869">
                  <c:v>136.47644999999895</c:v>
                </c:pt>
                <c:pt idx="870">
                  <c:v>136.63349999999895</c:v>
                </c:pt>
                <c:pt idx="871">
                  <c:v>136.79054999999894</c:v>
                </c:pt>
                <c:pt idx="872">
                  <c:v>136.94759999999894</c:v>
                </c:pt>
                <c:pt idx="873">
                  <c:v>137.10464999999894</c:v>
                </c:pt>
                <c:pt idx="874">
                  <c:v>137.26169999999894</c:v>
                </c:pt>
                <c:pt idx="875">
                  <c:v>137.41874999999894</c:v>
                </c:pt>
                <c:pt idx="876">
                  <c:v>137.57579999999894</c:v>
                </c:pt>
                <c:pt idx="877">
                  <c:v>137.73284999999893</c:v>
                </c:pt>
                <c:pt idx="878">
                  <c:v>137.88989999999893</c:v>
                </c:pt>
                <c:pt idx="879">
                  <c:v>138.04694999999893</c:v>
                </c:pt>
                <c:pt idx="880">
                  <c:v>138.20399999999893</c:v>
                </c:pt>
                <c:pt idx="881">
                  <c:v>138.36104999999893</c:v>
                </c:pt>
                <c:pt idx="882">
                  <c:v>138.51809999999892</c:v>
                </c:pt>
                <c:pt idx="883">
                  <c:v>138.67514999999892</c:v>
                </c:pt>
                <c:pt idx="884">
                  <c:v>138.83219999999892</c:v>
                </c:pt>
                <c:pt idx="885">
                  <c:v>138.98924999999892</c:v>
                </c:pt>
                <c:pt idx="886">
                  <c:v>139.14629999999892</c:v>
                </c:pt>
                <c:pt idx="887">
                  <c:v>139.30334999999891</c:v>
                </c:pt>
                <c:pt idx="888">
                  <c:v>139.46039999999891</c:v>
                </c:pt>
                <c:pt idx="889">
                  <c:v>139.61744999999891</c:v>
                </c:pt>
                <c:pt idx="890">
                  <c:v>139.77449999999891</c:v>
                </c:pt>
                <c:pt idx="891">
                  <c:v>139.93154999999891</c:v>
                </c:pt>
                <c:pt idx="892">
                  <c:v>140.08859999999891</c:v>
                </c:pt>
                <c:pt idx="893">
                  <c:v>140.2456499999989</c:v>
                </c:pt>
                <c:pt idx="894">
                  <c:v>140.4026999999989</c:v>
                </c:pt>
                <c:pt idx="895">
                  <c:v>140.5597499999989</c:v>
                </c:pt>
                <c:pt idx="896">
                  <c:v>140.7167999999989</c:v>
                </c:pt>
                <c:pt idx="897">
                  <c:v>140.8738499999989</c:v>
                </c:pt>
                <c:pt idx="898">
                  <c:v>141.03089999999889</c:v>
                </c:pt>
                <c:pt idx="899">
                  <c:v>141.18794999999889</c:v>
                </c:pt>
                <c:pt idx="900">
                  <c:v>141.34499999999889</c:v>
                </c:pt>
                <c:pt idx="901">
                  <c:v>141.50204999999889</c:v>
                </c:pt>
                <c:pt idx="902">
                  <c:v>141.65909999999889</c:v>
                </c:pt>
                <c:pt idx="903">
                  <c:v>141.81614999999888</c:v>
                </c:pt>
                <c:pt idx="904">
                  <c:v>141.97319999999888</c:v>
                </c:pt>
                <c:pt idx="905">
                  <c:v>142.13024999999888</c:v>
                </c:pt>
                <c:pt idx="906">
                  <c:v>142.28729999999888</c:v>
                </c:pt>
                <c:pt idx="907">
                  <c:v>142.44434999999888</c:v>
                </c:pt>
                <c:pt idx="908">
                  <c:v>142.60139999999888</c:v>
                </c:pt>
                <c:pt idx="909">
                  <c:v>142.75844999999887</c:v>
                </c:pt>
                <c:pt idx="910">
                  <c:v>142.91549999999887</c:v>
                </c:pt>
                <c:pt idx="911">
                  <c:v>143.07254999999887</c:v>
                </c:pt>
                <c:pt idx="912">
                  <c:v>143.22959999999887</c:v>
                </c:pt>
                <c:pt idx="913">
                  <c:v>143.38664999999887</c:v>
                </c:pt>
                <c:pt idx="914">
                  <c:v>143.54369999999886</c:v>
                </c:pt>
                <c:pt idx="915">
                  <c:v>143.70074999999886</c:v>
                </c:pt>
                <c:pt idx="916">
                  <c:v>143.85779999999886</c:v>
                </c:pt>
                <c:pt idx="917">
                  <c:v>144.01484999999886</c:v>
                </c:pt>
                <c:pt idx="918">
                  <c:v>144.17189999999886</c:v>
                </c:pt>
                <c:pt idx="919">
                  <c:v>144.32894999999885</c:v>
                </c:pt>
                <c:pt idx="920">
                  <c:v>144.48599999999885</c:v>
                </c:pt>
                <c:pt idx="921">
                  <c:v>144.64304999999885</c:v>
                </c:pt>
                <c:pt idx="922">
                  <c:v>144.80009999999885</c:v>
                </c:pt>
                <c:pt idx="923">
                  <c:v>144.95714999999885</c:v>
                </c:pt>
                <c:pt idx="924">
                  <c:v>145.11419999999885</c:v>
                </c:pt>
                <c:pt idx="925">
                  <c:v>145.27124999999884</c:v>
                </c:pt>
                <c:pt idx="926">
                  <c:v>145.42829999999884</c:v>
                </c:pt>
                <c:pt idx="927">
                  <c:v>145.58534999999884</c:v>
                </c:pt>
                <c:pt idx="928">
                  <c:v>145.74239999999884</c:v>
                </c:pt>
                <c:pt idx="929">
                  <c:v>145.89944999999884</c:v>
                </c:pt>
                <c:pt idx="930">
                  <c:v>146.05649999999883</c:v>
                </c:pt>
                <c:pt idx="931">
                  <c:v>146.21354999999883</c:v>
                </c:pt>
                <c:pt idx="932">
                  <c:v>146.37059999999883</c:v>
                </c:pt>
                <c:pt idx="933">
                  <c:v>146.52764999999883</c:v>
                </c:pt>
                <c:pt idx="934">
                  <c:v>146.68469999999883</c:v>
                </c:pt>
                <c:pt idx="935">
                  <c:v>146.84174999999883</c:v>
                </c:pt>
                <c:pt idx="936">
                  <c:v>146.99879999999882</c:v>
                </c:pt>
                <c:pt idx="937">
                  <c:v>147.15584999999882</c:v>
                </c:pt>
                <c:pt idx="938">
                  <c:v>147.31289999999882</c:v>
                </c:pt>
                <c:pt idx="939">
                  <c:v>147.46994999999882</c:v>
                </c:pt>
                <c:pt idx="940">
                  <c:v>147.62699999999882</c:v>
                </c:pt>
                <c:pt idx="941">
                  <c:v>147.78404999999881</c:v>
                </c:pt>
                <c:pt idx="942">
                  <c:v>147.94109999999881</c:v>
                </c:pt>
                <c:pt idx="943">
                  <c:v>148.09814999999881</c:v>
                </c:pt>
                <c:pt idx="944">
                  <c:v>148.25519999999881</c:v>
                </c:pt>
                <c:pt idx="945">
                  <c:v>148.41224999999881</c:v>
                </c:pt>
                <c:pt idx="946">
                  <c:v>148.5692999999988</c:v>
                </c:pt>
                <c:pt idx="947">
                  <c:v>148.7263499999988</c:v>
                </c:pt>
                <c:pt idx="948">
                  <c:v>148.8833999999988</c:v>
                </c:pt>
                <c:pt idx="949">
                  <c:v>149.0404499999988</c:v>
                </c:pt>
                <c:pt idx="950">
                  <c:v>149.1974999999988</c:v>
                </c:pt>
                <c:pt idx="951">
                  <c:v>149.3545499999988</c:v>
                </c:pt>
                <c:pt idx="952">
                  <c:v>149.51159999999879</c:v>
                </c:pt>
                <c:pt idx="953">
                  <c:v>149.66864999999879</c:v>
                </c:pt>
                <c:pt idx="954">
                  <c:v>149.82569999999879</c:v>
                </c:pt>
                <c:pt idx="955">
                  <c:v>149.98274999999879</c:v>
                </c:pt>
                <c:pt idx="956">
                  <c:v>150.13979999999879</c:v>
                </c:pt>
                <c:pt idx="957">
                  <c:v>150.29684999999878</c:v>
                </c:pt>
                <c:pt idx="958">
                  <c:v>150.45389999999878</c:v>
                </c:pt>
                <c:pt idx="959">
                  <c:v>150.61094999999878</c:v>
                </c:pt>
                <c:pt idx="960">
                  <c:v>150.76799999999878</c:v>
                </c:pt>
                <c:pt idx="961">
                  <c:v>150.92504999999878</c:v>
                </c:pt>
                <c:pt idx="962">
                  <c:v>151.08209999999877</c:v>
                </c:pt>
                <c:pt idx="963">
                  <c:v>151.23914999999877</c:v>
                </c:pt>
                <c:pt idx="964">
                  <c:v>151.39619999999877</c:v>
                </c:pt>
                <c:pt idx="965">
                  <c:v>151.55324999999877</c:v>
                </c:pt>
                <c:pt idx="966">
                  <c:v>151.71029999999877</c:v>
                </c:pt>
                <c:pt idx="967">
                  <c:v>151.86734999999877</c:v>
                </c:pt>
                <c:pt idx="968">
                  <c:v>152.02439999999876</c:v>
                </c:pt>
                <c:pt idx="969">
                  <c:v>152.18144999999876</c:v>
                </c:pt>
                <c:pt idx="970">
                  <c:v>152.33849999999876</c:v>
                </c:pt>
                <c:pt idx="971">
                  <c:v>152.49554999999876</c:v>
                </c:pt>
                <c:pt idx="972">
                  <c:v>152.65259999999876</c:v>
                </c:pt>
                <c:pt idx="973">
                  <c:v>152.80964999999875</c:v>
                </c:pt>
                <c:pt idx="974">
                  <c:v>152.96669999999875</c:v>
                </c:pt>
                <c:pt idx="975">
                  <c:v>153.12374999999875</c:v>
                </c:pt>
                <c:pt idx="976">
                  <c:v>153.28079999999875</c:v>
                </c:pt>
                <c:pt idx="977">
                  <c:v>153.43784999999875</c:v>
                </c:pt>
                <c:pt idx="978">
                  <c:v>153.59489999999874</c:v>
                </c:pt>
                <c:pt idx="979">
                  <c:v>153.75194999999874</c:v>
                </c:pt>
                <c:pt idx="980">
                  <c:v>153.90899999999874</c:v>
                </c:pt>
                <c:pt idx="981">
                  <c:v>154.06604999999874</c:v>
                </c:pt>
                <c:pt idx="982">
                  <c:v>154.22309999999874</c:v>
                </c:pt>
                <c:pt idx="983">
                  <c:v>154.38014999999874</c:v>
                </c:pt>
                <c:pt idx="984">
                  <c:v>154.53719999999873</c:v>
                </c:pt>
                <c:pt idx="985">
                  <c:v>154.69424999999873</c:v>
                </c:pt>
                <c:pt idx="986">
                  <c:v>154.85129999999873</c:v>
                </c:pt>
                <c:pt idx="987">
                  <c:v>155.00834999999873</c:v>
                </c:pt>
                <c:pt idx="988">
                  <c:v>155.16539999999873</c:v>
                </c:pt>
                <c:pt idx="989">
                  <c:v>155.32244999999872</c:v>
                </c:pt>
                <c:pt idx="990">
                  <c:v>155.47949999999872</c:v>
                </c:pt>
                <c:pt idx="991">
                  <c:v>155.63654999999872</c:v>
                </c:pt>
                <c:pt idx="992">
                  <c:v>155.79359999999872</c:v>
                </c:pt>
                <c:pt idx="993">
                  <c:v>155.95064999999872</c:v>
                </c:pt>
                <c:pt idx="994">
                  <c:v>156.10769999999872</c:v>
                </c:pt>
                <c:pt idx="995">
                  <c:v>156.26474999999871</c:v>
                </c:pt>
                <c:pt idx="996">
                  <c:v>156.42179999999871</c:v>
                </c:pt>
                <c:pt idx="997">
                  <c:v>156.57884999999871</c:v>
                </c:pt>
                <c:pt idx="998">
                  <c:v>156.73589999999871</c:v>
                </c:pt>
                <c:pt idx="999">
                  <c:v>156.89294999999871</c:v>
                </c:pt>
                <c:pt idx="1000">
                  <c:v>157.0499999999987</c:v>
                </c:pt>
              </c:numCache>
            </c:numRef>
          </c:xVal>
          <c:yVal>
            <c:numRef>
              <c:f>ROT3P!$F$13:$F$1013</c:f>
              <c:numCache>
                <c:formatCode>#,##0.0000</c:formatCode>
                <c:ptCount val="1001"/>
                <c:pt idx="0">
                  <c:v>47.939</c:v>
                </c:pt>
                <c:pt idx="1">
                  <c:v>47.938909781857475</c:v>
                </c:pt>
                <c:pt idx="2">
                  <c:v>47.938799522494342</c:v>
                </c:pt>
                <c:pt idx="3">
                  <c:v>47.938669226263436</c:v>
                </c:pt>
                <c:pt idx="4">
                  <c:v>47.938518898308629</c:v>
                </c:pt>
                <c:pt idx="5">
                  <c:v>47.938348544564619</c:v>
                </c:pt>
                <c:pt idx="6">
                  <c:v>47.938158171756683</c:v>
                </c:pt>
                <c:pt idx="7">
                  <c:v>47.937947787400404</c:v>
                </c:pt>
                <c:pt idx="8">
                  <c:v>47.937717399801393</c:v>
                </c:pt>
                <c:pt idx="9">
                  <c:v>47.937467018054974</c:v>
                </c:pt>
                <c:pt idx="10">
                  <c:v>47.937196652045778</c:v>
                </c:pt>
                <c:pt idx="11">
                  <c:v>47.936906312447391</c:v>
                </c:pt>
                <c:pt idx="12">
                  <c:v>47.936596010721928</c:v>
                </c:pt>
                <c:pt idx="13">
                  <c:v>47.936265759119571</c:v>
                </c:pt>
                <c:pt idx="14">
                  <c:v>47.935915570678084</c:v>
                </c:pt>
                <c:pt idx="15">
                  <c:v>47.935545459222311</c:v>
                </c:pt>
                <c:pt idx="16">
                  <c:v>47.935155439363612</c:v>
                </c:pt>
                <c:pt idx="17">
                  <c:v>47.934745526499306</c:v>
                </c:pt>
                <c:pt idx="18">
                  <c:v>47.934315736812053</c:v>
                </c:pt>
                <c:pt idx="19">
                  <c:v>47.933866087269216</c:v>
                </c:pt>
                <c:pt idx="20">
                  <c:v>47.933396595622185</c:v>
                </c:pt>
                <c:pt idx="21">
                  <c:v>47.932907280405686</c:v>
                </c:pt>
                <c:pt idx="22">
                  <c:v>47.932398160937041</c:v>
                </c:pt>
                <c:pt idx="23">
                  <c:v>47.931869257315434</c:v>
                </c:pt>
                <c:pt idx="24">
                  <c:v>47.931320590421052</c:v>
                </c:pt>
                <c:pt idx="25">
                  <c:v>47.930752181914336</c:v>
                </c:pt>
                <c:pt idx="26">
                  <c:v>47.930164054235078</c:v>
                </c:pt>
                <c:pt idx="27">
                  <c:v>47.929556230601555</c:v>
                </c:pt>
                <c:pt idx="28">
                  <c:v>47.928928735009599</c:v>
                </c:pt>
                <c:pt idx="29">
                  <c:v>47.928281592231663</c:v>
                </c:pt>
                <c:pt idx="30">
                  <c:v>47.927614827815837</c:v>
                </c:pt>
                <c:pt idx="31">
                  <c:v>47.926928468084839</c:v>
                </c:pt>
                <c:pt idx="32">
                  <c:v>47.926222540134965</c:v>
                </c:pt>
                <c:pt idx="33">
                  <c:v>47.925497071835061</c:v>
                </c:pt>
                <c:pt idx="34">
                  <c:v>47.924752091825361</c:v>
                </c:pt>
                <c:pt idx="35">
                  <c:v>47.923987629516404</c:v>
                </c:pt>
                <c:pt idx="36">
                  <c:v>47.923203715087844</c:v>
                </c:pt>
                <c:pt idx="37">
                  <c:v>47.922400379487293</c:v>
                </c:pt>
                <c:pt idx="38">
                  <c:v>47.921577654429058</c:v>
                </c:pt>
                <c:pt idx="39">
                  <c:v>47.920735572392921</c:v>
                </c:pt>
                <c:pt idx="40">
                  <c:v>47.919874166622833</c:v>
                </c:pt>
                <c:pt idx="41">
                  <c:v>47.918993471125624</c:v>
                </c:pt>
                <c:pt idx="42">
                  <c:v>47.918093520669636</c:v>
                </c:pt>
                <c:pt idx="43">
                  <c:v>47.917174350783377</c:v>
                </c:pt>
                <c:pt idx="44">
                  <c:v>47.916235997754107</c:v>
                </c:pt>
                <c:pt idx="45">
                  <c:v>47.915278498626385</c:v>
                </c:pt>
                <c:pt idx="46">
                  <c:v>47.914301891200644</c:v>
                </c:pt>
                <c:pt idx="47">
                  <c:v>47.913306214031671</c:v>
                </c:pt>
                <c:pt idx="48">
                  <c:v>47.912291506427103</c:v>
                </c:pt>
                <c:pt idx="49">
                  <c:v>47.911257808445846</c:v>
                </c:pt>
                <c:pt idx="50">
                  <c:v>47.910205160896531</c:v>
                </c:pt>
                <c:pt idx="51">
                  <c:v>47.909133605335882</c:v>
                </c:pt>
                <c:pt idx="52">
                  <c:v>47.908043184067083</c:v>
                </c:pt>
                <c:pt idx="53">
                  <c:v>47.906933940138089</c:v>
                </c:pt>
                <c:pt idx="54">
                  <c:v>47.905805917339954</c:v>
                </c:pt>
                <c:pt idx="55">
                  <c:v>47.904659160205092</c:v>
                </c:pt>
                <c:pt idx="56">
                  <c:v>47.903493714005506</c:v>
                </c:pt>
                <c:pt idx="57">
                  <c:v>47.90230962475102</c:v>
                </c:pt>
                <c:pt idx="58">
                  <c:v>47.901106939187443</c:v>
                </c:pt>
                <c:pt idx="59">
                  <c:v>47.899885704794748</c:v>
                </c:pt>
                <c:pt idx="60">
                  <c:v>47.898645969785179</c:v>
                </c:pt>
                <c:pt idx="61">
                  <c:v>47.897387783101344</c:v>
                </c:pt>
                <c:pt idx="62">
                  <c:v>47.89611119441431</c:v>
                </c:pt>
                <c:pt idx="63">
                  <c:v>47.894816254121601</c:v>
                </c:pt>
                <c:pt idx="64">
                  <c:v>47.893503013345253</c:v>
                </c:pt>
                <c:pt idx="65">
                  <c:v>47.892171523929754</c:v>
                </c:pt>
                <c:pt idx="66">
                  <c:v>47.890821838440033</c:v>
                </c:pt>
                <c:pt idx="67">
                  <c:v>47.889454010159355</c:v>
                </c:pt>
                <c:pt idx="68">
                  <c:v>47.888068093087242</c:v>
                </c:pt>
                <c:pt idx="69">
                  <c:v>47.886664141937331</c:v>
                </c:pt>
                <c:pt idx="70">
                  <c:v>47.885242212135203</c:v>
                </c:pt>
                <c:pt idx="71">
                  <c:v>47.883802359816222</c:v>
                </c:pt>
                <c:pt idx="72">
                  <c:v>47.882344641823281</c:v>
                </c:pt>
                <c:pt idx="73">
                  <c:v>47.880869115704591</c:v>
                </c:pt>
                <c:pt idx="74">
                  <c:v>47.8793758397114</c:v>
                </c:pt>
                <c:pt idx="75">
                  <c:v>47.877864872795691</c:v>
                </c:pt>
                <c:pt idx="76">
                  <c:v>47.876336274607844</c:v>
                </c:pt>
                <c:pt idx="77">
                  <c:v>47.874790105494306</c:v>
                </c:pt>
                <c:pt idx="78">
                  <c:v>47.873226426495172</c:v>
                </c:pt>
                <c:pt idx="79">
                  <c:v>47.871645299341829</c:v>
                </c:pt>
                <c:pt idx="80">
                  <c:v>47.870046786454459</c:v>
                </c:pt>
                <c:pt idx="81">
                  <c:v>47.868430950939619</c:v>
                </c:pt>
                <c:pt idx="82">
                  <c:v>47.866797856587716</c:v>
                </c:pt>
                <c:pt idx="83">
                  <c:v>47.865147567870537</c:v>
                </c:pt>
                <c:pt idx="84">
                  <c:v>47.863480149938646</c:v>
                </c:pt>
                <c:pt idx="85">
                  <c:v>47.861795668618839</c:v>
                </c:pt>
                <c:pt idx="86">
                  <c:v>47.860094190411573</c:v>
                </c:pt>
                <c:pt idx="87">
                  <c:v>47.858375782488281</c:v>
                </c:pt>
                <c:pt idx="88">
                  <c:v>47.856640512688763</c:v>
                </c:pt>
                <c:pt idx="89">
                  <c:v>47.854888449518512</c:v>
                </c:pt>
                <c:pt idx="90">
                  <c:v>47.853119662145971</c:v>
                </c:pt>
                <c:pt idx="91">
                  <c:v>47.851334220399842</c:v>
                </c:pt>
                <c:pt idx="92">
                  <c:v>47.849532194766311</c:v>
                </c:pt>
                <c:pt idx="93">
                  <c:v>47.847713656386254</c:v>
                </c:pt>
                <c:pt idx="94">
                  <c:v>47.845878677052461</c:v>
                </c:pt>
                <c:pt idx="95">
                  <c:v>47.844027329206774</c:v>
                </c:pt>
                <c:pt idx="96">
                  <c:v>47.842159685937233</c:v>
                </c:pt>
                <c:pt idx="97">
                  <c:v>47.840275820975194</c:v>
                </c:pt>
                <c:pt idx="98">
                  <c:v>47.838375808692426</c:v>
                </c:pt>
                <c:pt idx="99">
                  <c:v>47.836459724098155</c:v>
                </c:pt>
                <c:pt idx="100">
                  <c:v>47.834527642836122</c:v>
                </c:pt>
                <c:pt idx="101">
                  <c:v>47.832579641181589</c:v>
                </c:pt>
                <c:pt idx="102">
                  <c:v>47.83061579603833</c:v>
                </c:pt>
                <c:pt idx="103">
                  <c:v>47.828636184935576</c:v>
                </c:pt>
                <c:pt idx="104">
                  <c:v>47.82664088602499</c:v>
                </c:pt>
                <c:pt idx="105">
                  <c:v>47.82462997807756</c:v>
                </c:pt>
                <c:pt idx="106">
                  <c:v>47.822603540480486</c:v>
                </c:pt>
                <c:pt idx="107">
                  <c:v>47.820561653234051</c:v>
                </c:pt>
                <c:pt idx="108">
                  <c:v>47.818504396948477</c:v>
                </c:pt>
                <c:pt idx="109">
                  <c:v>47.816431852840708</c:v>
                </c:pt>
                <c:pt idx="110">
                  <c:v>47.814344102731241</c:v>
                </c:pt>
                <c:pt idx="111">
                  <c:v>47.812241229040879</c:v>
                </c:pt>
                <c:pt idx="112">
                  <c:v>47.810123314787468</c:v>
                </c:pt>
                <c:pt idx="113">
                  <c:v>47.807990443582646</c:v>
                </c:pt>
                <c:pt idx="114">
                  <c:v>47.805842699628506</c:v>
                </c:pt>
                <c:pt idx="115">
                  <c:v>47.803680167714305</c:v>
                </c:pt>
                <c:pt idx="116">
                  <c:v>47.801502933213101</c:v>
                </c:pt>
                <c:pt idx="117">
                  <c:v>47.79931108207839</c:v>
                </c:pt>
                <c:pt idx="118">
                  <c:v>47.797104700840691</c:v>
                </c:pt>
                <c:pt idx="119">
                  <c:v>47.79488387660416</c:v>
                </c:pt>
                <c:pt idx="120">
                  <c:v>47.792648697043141</c:v>
                </c:pt>
                <c:pt idx="121">
                  <c:v>47.790399250398693</c:v>
                </c:pt>
                <c:pt idx="122">
                  <c:v>47.788135625475114</c:v>
                </c:pt>
                <c:pt idx="123">
                  <c:v>47.785857911636441</c:v>
                </c:pt>
                <c:pt idx="124">
                  <c:v>47.783566198802923</c:v>
                </c:pt>
                <c:pt idx="125">
                  <c:v>47.781260577447455</c:v>
                </c:pt>
                <c:pt idx="126">
                  <c:v>47.778941138592018</c:v>
                </c:pt>
                <c:pt idx="127">
                  <c:v>47.776607973804083</c:v>
                </c:pt>
                <c:pt idx="128">
                  <c:v>47.774261175193011</c:v>
                </c:pt>
                <c:pt idx="129">
                  <c:v>47.771900835406385</c:v>
                </c:pt>
                <c:pt idx="130">
                  <c:v>47.769527047626383</c:v>
                </c:pt>
                <c:pt idx="131">
                  <c:v>47.767139905566076</c:v>
                </c:pt>
                <c:pt idx="132">
                  <c:v>47.764739503465748</c:v>
                </c:pt>
                <c:pt idx="133">
                  <c:v>47.762325936089169</c:v>
                </c:pt>
                <c:pt idx="134">
                  <c:v>47.759899298719837</c:v>
                </c:pt>
                <c:pt idx="135">
                  <c:v>47.757459687157251</c:v>
                </c:pt>
                <c:pt idx="136">
                  <c:v>47.755007197713091</c:v>
                </c:pt>
                <c:pt idx="137">
                  <c:v>47.752541927207439</c:v>
                </c:pt>
                <c:pt idx="138">
                  <c:v>47.750063972964959</c:v>
                </c:pt>
                <c:pt idx="139">
                  <c:v>47.747573432811038</c:v>
                </c:pt>
                <c:pt idx="140">
                  <c:v>47.745070405067935</c:v>
                </c:pt>
                <c:pt idx="141">
                  <c:v>47.742554988550907</c:v>
                </c:pt>
                <c:pt idx="142">
                  <c:v>47.740027282564284</c:v>
                </c:pt>
                <c:pt idx="143">
                  <c:v>47.73748738689757</c:v>
                </c:pt>
                <c:pt idx="144">
                  <c:v>47.734935401821502</c:v>
                </c:pt>
                <c:pt idx="145">
                  <c:v>47.732371428084079</c:v>
                </c:pt>
                <c:pt idx="146">
                  <c:v>47.729795566906596</c:v>
                </c:pt>
                <c:pt idx="147">
                  <c:v>47.727207919979634</c:v>
                </c:pt>
                <c:pt idx="148">
                  <c:v>47.724608589459073</c:v>
                </c:pt>
                <c:pt idx="149">
                  <c:v>47.721997677962023</c:v>
                </c:pt>
                <c:pt idx="150">
                  <c:v>47.719375288562802</c:v>
                </c:pt>
                <c:pt idx="151">
                  <c:v>47.716741524788858</c:v>
                </c:pt>
                <c:pt idx="152">
                  <c:v>47.714096490616669</c:v>
                </c:pt>
                <c:pt idx="153">
                  <c:v>47.711440290467657</c:v>
                </c:pt>
                <c:pt idx="154">
                  <c:v>47.708773029204053</c:v>
                </c:pt>
                <c:pt idx="155">
                  <c:v>47.706094812124768</c:v>
                </c:pt>
                <c:pt idx="156">
                  <c:v>47.703405744961231</c:v>
                </c:pt>
                <c:pt idx="157">
                  <c:v>47.700705933873195</c:v>
                </c:pt>
                <c:pt idx="158">
                  <c:v>47.697995485444594</c:v>
                </c:pt>
                <c:pt idx="159">
                  <c:v>47.695274506679283</c:v>
                </c:pt>
                <c:pt idx="160">
                  <c:v>47.692543104996851</c:v>
                </c:pt>
                <c:pt idx="161">
                  <c:v>47.689801388228354</c:v>
                </c:pt>
                <c:pt idx="162">
                  <c:v>47.687049464612073</c:v>
                </c:pt>
                <c:pt idx="163">
                  <c:v>47.684287442789241</c:v>
                </c:pt>
                <c:pt idx="164">
                  <c:v>47.68151543179976</c:v>
                </c:pt>
                <c:pt idx="165">
                  <c:v>47.678733541077868</c:v>
                </c:pt>
                <c:pt idx="166">
                  <c:v>47.675941880447844</c:v>
                </c:pt>
                <c:pt idx="167">
                  <c:v>47.673140560119684</c:v>
                </c:pt>
                <c:pt idx="168">
                  <c:v>47.670329690684703</c:v>
                </c:pt>
                <c:pt idx="169">
                  <c:v>47.667509383111224</c:v>
                </c:pt>
                <c:pt idx="170">
                  <c:v>47.664679748740156</c:v>
                </c:pt>
                <c:pt idx="171">
                  <c:v>47.661840899280612</c:v>
                </c:pt>
                <c:pt idx="172">
                  <c:v>47.658992946805519</c:v>
                </c:pt>
                <c:pt idx="173">
                  <c:v>47.656136003747164</c:v>
                </c:pt>
                <c:pt idx="174">
                  <c:v>47.653270182892761</c:v>
                </c:pt>
                <c:pt idx="175">
                  <c:v>47.650395597380012</c:v>
                </c:pt>
                <c:pt idx="176">
                  <c:v>47.647512360692637</c:v>
                </c:pt>
                <c:pt idx="177">
                  <c:v>47.644620586655869</c:v>
                </c:pt>
                <c:pt idx="178">
                  <c:v>47.64172038943201</c:v>
                </c:pt>
                <c:pt idx="179">
                  <c:v>47.638811883515878</c:v>
                </c:pt>
                <c:pt idx="180">
                  <c:v>47.635895183730298</c:v>
                </c:pt>
                <c:pt idx="181">
                  <c:v>47.632970405221592</c:v>
                </c:pt>
                <c:pt idx="182">
                  <c:v>47.630037663454999</c:v>
                </c:pt>
                <c:pt idx="183">
                  <c:v>47.627097074210148</c:v>
                </c:pt>
                <c:pt idx="184">
                  <c:v>47.62414875357647</c:v>
                </c:pt>
                <c:pt idx="185">
                  <c:v>47.621192817948618</c:v>
                </c:pt>
                <c:pt idx="186">
                  <c:v>47.618229384021852</c:v>
                </c:pt>
                <c:pt idx="187">
                  <c:v>47.615258568787489</c:v>
                </c:pt>
                <c:pt idx="188">
                  <c:v>47.612280489528217</c:v>
                </c:pt>
                <c:pt idx="189">
                  <c:v>47.609295263813507</c:v>
                </c:pt>
                <c:pt idx="190">
                  <c:v>47.606303009494958</c:v>
                </c:pt>
                <c:pt idx="191">
                  <c:v>47.603303844701657</c:v>
                </c:pt>
                <c:pt idx="192">
                  <c:v>47.600297887835474</c:v>
                </c:pt>
                <c:pt idx="193">
                  <c:v>47.597285257566462</c:v>
                </c:pt>
                <c:pt idx="194">
                  <c:v>47.594266072828091</c:v>
                </c:pt>
                <c:pt idx="195">
                  <c:v>47.591240452812606</c:v>
                </c:pt>
                <c:pt idx="196">
                  <c:v>47.588208516966311</c:v>
                </c:pt>
                <c:pt idx="197">
                  <c:v>47.585170384984835</c:v>
                </c:pt>
                <c:pt idx="198">
                  <c:v>47.58212617680843</c:v>
                </c:pt>
                <c:pt idx="199">
                  <c:v>47.579076012617222</c:v>
                </c:pt>
                <c:pt idx="200">
                  <c:v>47.576020012826476</c:v>
                </c:pt>
                <c:pt idx="201">
                  <c:v>47.572958298081815</c:v>
                </c:pt>
                <c:pt idx="202">
                  <c:v>47.56989098925451</c:v>
                </c:pt>
                <c:pt idx="203">
                  <c:v>47.566818207436661</c:v>
                </c:pt>
                <c:pt idx="204">
                  <c:v>47.563740073936422</c:v>
                </c:pt>
                <c:pt idx="205">
                  <c:v>47.560656710273243</c:v>
                </c:pt>
                <c:pt idx="206">
                  <c:v>47.557568238173033</c:v>
                </c:pt>
                <c:pt idx="207">
                  <c:v>47.554474779563392</c:v>
                </c:pt>
                <c:pt idx="208">
                  <c:v>47.551376456568761</c:v>
                </c:pt>
                <c:pt idx="209">
                  <c:v>47.548273391505631</c:v>
                </c:pt>
                <c:pt idx="210">
                  <c:v>47.545165706877697</c:v>
                </c:pt>
                <c:pt idx="211">
                  <c:v>47.542053525371031</c:v>
                </c:pt>
                <c:pt idx="212">
                  <c:v>47.538936969849217</c:v>
                </c:pt>
                <c:pt idx="213">
                  <c:v>47.535816163348542</c:v>
                </c:pt>
                <c:pt idx="214">
                  <c:v>47.532691229073102</c:v>
                </c:pt>
                <c:pt idx="215">
                  <c:v>47.529562290389947</c:v>
                </c:pt>
                <c:pt idx="216">
                  <c:v>47.526429470824219</c:v>
                </c:pt>
                <c:pt idx="217">
                  <c:v>47.523292894054272</c:v>
                </c:pt>
                <c:pt idx="218">
                  <c:v>47.520152683906787</c:v>
                </c:pt>
                <c:pt idx="219">
                  <c:v>47.517008964351888</c:v>
                </c:pt>
                <c:pt idx="220">
                  <c:v>47.513861859498228</c:v>
                </c:pt>
                <c:pt idx="221">
                  <c:v>47.510711493588126</c:v>
                </c:pt>
                <c:pt idx="222">
                  <c:v>47.507557990992638</c:v>
                </c:pt>
                <c:pt idx="223">
                  <c:v>47.504401476206638</c:v>
                </c:pt>
                <c:pt idx="224">
                  <c:v>47.501242073843926</c:v>
                </c:pt>
                <c:pt idx="225">
                  <c:v>47.498079908632306</c:v>
                </c:pt>
                <c:pt idx="226">
                  <c:v>47.494915105408637</c:v>
                </c:pt>
                <c:pt idx="227">
                  <c:v>47.49174778911393</c:v>
                </c:pt>
                <c:pt idx="228">
                  <c:v>47.488578084788422</c:v>
                </c:pt>
                <c:pt idx="229">
                  <c:v>47.485406117566598</c:v>
                </c:pt>
                <c:pt idx="230">
                  <c:v>47.482232012672299</c:v>
                </c:pt>
                <c:pt idx="231">
                  <c:v>47.479055895413751</c:v>
                </c:pt>
                <c:pt idx="232">
                  <c:v>47.475877891178627</c:v>
                </c:pt>
                <c:pt idx="233">
                  <c:v>47.472698125429083</c:v>
                </c:pt>
                <c:pt idx="234">
                  <c:v>47.469516723696842</c:v>
                </c:pt>
                <c:pt idx="235">
                  <c:v>47.466333811578188</c:v>
                </c:pt>
                <c:pt idx="236">
                  <c:v>47.463149514729039</c:v>
                </c:pt>
                <c:pt idx="237">
                  <c:v>47.45996395885998</c:v>
                </c:pt>
                <c:pt idx="238">
                  <c:v>47.456777269731312</c:v>
                </c:pt>
                <c:pt idx="239">
                  <c:v>47.453589573148065</c:v>
                </c:pt>
                <c:pt idx="240">
                  <c:v>47.450400994955032</c:v>
                </c:pt>
                <c:pt idx="241">
                  <c:v>47.447211661031822</c:v>
                </c:pt>
                <c:pt idx="242">
                  <c:v>47.444021697287887</c:v>
                </c:pt>
                <c:pt idx="243">
                  <c:v>47.440831229657526</c:v>
                </c:pt>
                <c:pt idx="244">
                  <c:v>47.437640384094941</c:v>
                </c:pt>
                <c:pt idx="245">
                  <c:v>47.434449286569247</c:v>
                </c:pt>
                <c:pt idx="246">
                  <c:v>47.431258063059516</c:v>
                </c:pt>
                <c:pt idx="247">
                  <c:v>47.428066839549786</c:v>
                </c:pt>
                <c:pt idx="248">
                  <c:v>47.424875742024092</c:v>
                </c:pt>
                <c:pt idx="249">
                  <c:v>47.421684896461507</c:v>
                </c:pt>
                <c:pt idx="250">
                  <c:v>47.418494428831146</c:v>
                </c:pt>
                <c:pt idx="251">
                  <c:v>47.41530446508721</c:v>
                </c:pt>
                <c:pt idx="252">
                  <c:v>47.412115131164001</c:v>
                </c:pt>
                <c:pt idx="253">
                  <c:v>47.408926552970968</c:v>
                </c:pt>
                <c:pt idx="254">
                  <c:v>47.405738856387721</c:v>
                </c:pt>
                <c:pt idx="255">
                  <c:v>47.402552167259053</c:v>
                </c:pt>
                <c:pt idx="256">
                  <c:v>47.399366611389993</c:v>
                </c:pt>
                <c:pt idx="257">
                  <c:v>47.396182314540845</c:v>
                </c:pt>
                <c:pt idx="258">
                  <c:v>47.392999402422191</c:v>
                </c:pt>
                <c:pt idx="259">
                  <c:v>47.389818000689942</c:v>
                </c:pt>
                <c:pt idx="260">
                  <c:v>47.386638234940406</c:v>
                </c:pt>
                <c:pt idx="261">
                  <c:v>47.383460230705282</c:v>
                </c:pt>
                <c:pt idx="262">
                  <c:v>47.380284113446734</c:v>
                </c:pt>
                <c:pt idx="263">
                  <c:v>47.377110008552435</c:v>
                </c:pt>
                <c:pt idx="264">
                  <c:v>47.373938041330611</c:v>
                </c:pt>
                <c:pt idx="265">
                  <c:v>47.370768337005103</c:v>
                </c:pt>
                <c:pt idx="266">
                  <c:v>47.367601020710396</c:v>
                </c:pt>
                <c:pt idx="267">
                  <c:v>47.364436217486727</c:v>
                </c:pt>
                <c:pt idx="268">
                  <c:v>47.361274052275107</c:v>
                </c:pt>
                <c:pt idx="269">
                  <c:v>47.358114649912395</c:v>
                </c:pt>
                <c:pt idx="270">
                  <c:v>47.354958135126395</c:v>
                </c:pt>
                <c:pt idx="271">
                  <c:v>47.351804632530907</c:v>
                </c:pt>
                <c:pt idx="272">
                  <c:v>47.348654266620805</c:v>
                </c:pt>
                <c:pt idx="273">
                  <c:v>47.345507161767145</c:v>
                </c:pt>
                <c:pt idx="274">
                  <c:v>47.342363442212246</c:v>
                </c:pt>
                <c:pt idx="275">
                  <c:v>47.339223232064761</c:v>
                </c:pt>
                <c:pt idx="276">
                  <c:v>47.336086655294814</c:v>
                </c:pt>
                <c:pt idx="277">
                  <c:v>47.332953835729086</c:v>
                </c:pt>
                <c:pt idx="278">
                  <c:v>47.329824897045931</c:v>
                </c:pt>
                <c:pt idx="279">
                  <c:v>47.326699962770491</c:v>
                </c:pt>
                <c:pt idx="280">
                  <c:v>47.323579156269815</c:v>
                </c:pt>
                <c:pt idx="281">
                  <c:v>47.320462600748002</c:v>
                </c:pt>
                <c:pt idx="282">
                  <c:v>47.317350419241336</c:v>
                </c:pt>
                <c:pt idx="283">
                  <c:v>47.314242734613401</c:v>
                </c:pt>
                <c:pt idx="284">
                  <c:v>47.311139669550272</c:v>
                </c:pt>
                <c:pt idx="285">
                  <c:v>47.30804134655564</c:v>
                </c:pt>
                <c:pt idx="286">
                  <c:v>47.304947887946</c:v>
                </c:pt>
                <c:pt idx="287">
                  <c:v>47.30185941584579</c:v>
                </c:pt>
                <c:pt idx="288">
                  <c:v>47.29877605218261</c:v>
                </c:pt>
                <c:pt idx="289">
                  <c:v>47.295697918682372</c:v>
                </c:pt>
                <c:pt idx="290">
                  <c:v>47.292625136864523</c:v>
                </c:pt>
                <c:pt idx="291">
                  <c:v>47.289557828037218</c:v>
                </c:pt>
                <c:pt idx="292">
                  <c:v>47.286496113292557</c:v>
                </c:pt>
                <c:pt idx="293">
                  <c:v>47.283440113501811</c:v>
                </c:pt>
                <c:pt idx="294">
                  <c:v>47.280389949310603</c:v>
                </c:pt>
                <c:pt idx="295">
                  <c:v>47.277345741134198</c:v>
                </c:pt>
                <c:pt idx="296">
                  <c:v>47.274307609152721</c:v>
                </c:pt>
                <c:pt idx="297">
                  <c:v>47.271275673306427</c:v>
                </c:pt>
                <c:pt idx="298">
                  <c:v>47.268250053290949</c:v>
                </c:pt>
                <c:pt idx="299">
                  <c:v>47.265230868552571</c:v>
                </c:pt>
                <c:pt idx="300">
                  <c:v>47.262218238283559</c:v>
                </c:pt>
                <c:pt idx="301">
                  <c:v>47.259212281417383</c:v>
                </c:pt>
                <c:pt idx="302">
                  <c:v>47.256213116624075</c:v>
                </c:pt>
                <c:pt idx="303">
                  <c:v>47.253220862305525</c:v>
                </c:pt>
                <c:pt idx="304">
                  <c:v>47.250235636590816</c:v>
                </c:pt>
                <c:pt idx="305">
                  <c:v>47.247257557331544</c:v>
                </c:pt>
                <c:pt idx="306">
                  <c:v>47.244286742097181</c:v>
                </c:pt>
                <c:pt idx="307">
                  <c:v>47.241323308170422</c:v>
                </c:pt>
                <c:pt idx="308">
                  <c:v>47.238367372542562</c:v>
                </c:pt>
                <c:pt idx="309">
                  <c:v>47.235419051908885</c:v>
                </c:pt>
                <c:pt idx="310">
                  <c:v>47.232478462664034</c:v>
                </c:pt>
                <c:pt idx="311">
                  <c:v>47.229545720897448</c:v>
                </c:pt>
                <c:pt idx="312">
                  <c:v>47.226620942388742</c:v>
                </c:pt>
                <c:pt idx="313">
                  <c:v>47.223704242603162</c:v>
                </c:pt>
                <c:pt idx="314">
                  <c:v>47.220795736687023</c:v>
                </c:pt>
                <c:pt idx="315">
                  <c:v>47.217895539463164</c:v>
                </c:pt>
                <c:pt idx="316">
                  <c:v>47.215003765426403</c:v>
                </c:pt>
                <c:pt idx="317">
                  <c:v>47.212120528739021</c:v>
                </c:pt>
                <c:pt idx="318">
                  <c:v>47.209245943226271</c:v>
                </c:pt>
                <c:pt idx="319">
                  <c:v>47.206380122371868</c:v>
                </c:pt>
                <c:pt idx="320">
                  <c:v>47.203523179313514</c:v>
                </c:pt>
                <c:pt idx="321">
                  <c:v>47.20067522683842</c:v>
                </c:pt>
                <c:pt idx="322">
                  <c:v>47.197836377378884</c:v>
                </c:pt>
                <c:pt idx="323">
                  <c:v>47.195006743007816</c:v>
                </c:pt>
                <c:pt idx="324">
                  <c:v>47.19218643543433</c:v>
                </c:pt>
                <c:pt idx="325">
                  <c:v>47.189375565999356</c:v>
                </c:pt>
                <c:pt idx="326">
                  <c:v>47.186574245671189</c:v>
                </c:pt>
                <c:pt idx="327">
                  <c:v>47.183782585041172</c:v>
                </c:pt>
                <c:pt idx="328">
                  <c:v>47.18100069431928</c:v>
                </c:pt>
                <c:pt idx="329">
                  <c:v>47.178228683329792</c:v>
                </c:pt>
                <c:pt idx="330">
                  <c:v>47.175466661506967</c:v>
                </c:pt>
                <c:pt idx="331">
                  <c:v>47.172714737890686</c:v>
                </c:pt>
                <c:pt idx="332">
                  <c:v>47.169973021122189</c:v>
                </c:pt>
                <c:pt idx="333">
                  <c:v>47.16724161943975</c:v>
                </c:pt>
                <c:pt idx="334">
                  <c:v>47.164520640674439</c:v>
                </c:pt>
                <c:pt idx="335">
                  <c:v>47.161810192245838</c:v>
                </c:pt>
                <c:pt idx="336">
                  <c:v>47.159110381157809</c:v>
                </c:pt>
                <c:pt idx="337">
                  <c:v>47.156421313994265</c:v>
                </c:pt>
                <c:pt idx="338">
                  <c:v>47.153743096914987</c:v>
                </c:pt>
                <c:pt idx="339">
                  <c:v>47.151075835651383</c:v>
                </c:pt>
                <c:pt idx="340">
                  <c:v>47.148419635502371</c:v>
                </c:pt>
                <c:pt idx="341">
                  <c:v>47.145774601330181</c:v>
                </c:pt>
                <c:pt idx="342">
                  <c:v>47.143140837556231</c:v>
                </c:pt>
                <c:pt idx="343">
                  <c:v>47.140518448157017</c:v>
                </c:pt>
                <c:pt idx="344">
                  <c:v>47.137907536659966</c:v>
                </c:pt>
                <c:pt idx="345">
                  <c:v>47.135308206139399</c:v>
                </c:pt>
                <c:pt idx="346">
                  <c:v>47.132720559212444</c:v>
                </c:pt>
                <c:pt idx="347">
                  <c:v>47.130144698034961</c:v>
                </c:pt>
                <c:pt idx="348">
                  <c:v>47.127580724297538</c:v>
                </c:pt>
                <c:pt idx="349">
                  <c:v>47.12502873922147</c:v>
                </c:pt>
                <c:pt idx="350">
                  <c:v>47.122488843554756</c:v>
                </c:pt>
                <c:pt idx="351">
                  <c:v>47.119961137568133</c:v>
                </c:pt>
                <c:pt idx="352">
                  <c:v>47.117445721051105</c:v>
                </c:pt>
                <c:pt idx="353">
                  <c:v>47.114942693308002</c:v>
                </c:pt>
                <c:pt idx="354">
                  <c:v>47.112452153154081</c:v>
                </c:pt>
                <c:pt idx="355">
                  <c:v>47.109974198911601</c:v>
                </c:pt>
                <c:pt idx="356">
                  <c:v>47.107508928405949</c:v>
                </c:pt>
                <c:pt idx="357">
                  <c:v>47.105056438961789</c:v>
                </c:pt>
                <c:pt idx="358">
                  <c:v>47.102616827399203</c:v>
                </c:pt>
                <c:pt idx="359">
                  <c:v>47.100190190029871</c:v>
                </c:pt>
                <c:pt idx="360">
                  <c:v>47.097776622653292</c:v>
                </c:pt>
                <c:pt idx="361">
                  <c:v>47.095376220552964</c:v>
                </c:pt>
                <c:pt idx="362">
                  <c:v>47.092989078492657</c:v>
                </c:pt>
                <c:pt idx="363">
                  <c:v>47.090615290712655</c:v>
                </c:pt>
                <c:pt idx="364">
                  <c:v>47.088254950926029</c:v>
                </c:pt>
                <c:pt idx="365">
                  <c:v>47.085908152314957</c:v>
                </c:pt>
                <c:pt idx="366">
                  <c:v>47.083574987527022</c:v>
                </c:pt>
                <c:pt idx="367">
                  <c:v>47.081255548671585</c:v>
                </c:pt>
                <c:pt idx="368">
                  <c:v>47.078949927316117</c:v>
                </c:pt>
                <c:pt idx="369">
                  <c:v>47.076658214482599</c:v>
                </c:pt>
                <c:pt idx="370">
                  <c:v>47.074380500643926</c:v>
                </c:pt>
                <c:pt idx="371">
                  <c:v>47.072116875720347</c:v>
                </c:pt>
                <c:pt idx="372">
                  <c:v>47.069867429075899</c:v>
                </c:pt>
                <c:pt idx="373">
                  <c:v>47.06763224951488</c:v>
                </c:pt>
                <c:pt idx="374">
                  <c:v>47.065411425278349</c:v>
                </c:pt>
                <c:pt idx="375">
                  <c:v>47.06320504404065</c:v>
                </c:pt>
                <c:pt idx="376">
                  <c:v>47.061013192905939</c:v>
                </c:pt>
                <c:pt idx="377">
                  <c:v>47.058835958404735</c:v>
                </c:pt>
                <c:pt idx="378">
                  <c:v>47.056673426490534</c:v>
                </c:pt>
                <c:pt idx="379">
                  <c:v>47.054525682536394</c:v>
                </c:pt>
                <c:pt idx="380">
                  <c:v>47.052392811331572</c:v>
                </c:pt>
                <c:pt idx="381">
                  <c:v>47.050274897078161</c:v>
                </c:pt>
                <c:pt idx="382">
                  <c:v>47.048172023387799</c:v>
                </c:pt>
                <c:pt idx="383">
                  <c:v>47.046084273278332</c:v>
                </c:pt>
                <c:pt idx="384">
                  <c:v>47.044011729170563</c:v>
                </c:pt>
                <c:pt idx="385">
                  <c:v>47.041954472884989</c:v>
                </c:pt>
                <c:pt idx="386">
                  <c:v>47.039912585638554</c:v>
                </c:pt>
                <c:pt idx="387">
                  <c:v>47.03788614804148</c:v>
                </c:pt>
                <c:pt idx="388">
                  <c:v>47.03587524009405</c:v>
                </c:pt>
                <c:pt idx="389">
                  <c:v>47.033879941183464</c:v>
                </c:pt>
                <c:pt idx="390">
                  <c:v>47.031900330080717</c:v>
                </c:pt>
                <c:pt idx="391">
                  <c:v>47.029936484937451</c:v>
                </c:pt>
                <c:pt idx="392">
                  <c:v>47.027988483282918</c:v>
                </c:pt>
                <c:pt idx="393">
                  <c:v>47.026056402020885</c:v>
                </c:pt>
                <c:pt idx="394">
                  <c:v>47.024140317426621</c:v>
                </c:pt>
                <c:pt idx="395">
                  <c:v>47.022240305143846</c:v>
                </c:pt>
                <c:pt idx="396">
                  <c:v>47.020356440181814</c:v>
                </c:pt>
                <c:pt idx="397">
                  <c:v>47.018488796912273</c:v>
                </c:pt>
                <c:pt idx="398">
                  <c:v>47.016637449066579</c:v>
                </c:pt>
                <c:pt idx="399">
                  <c:v>47.014802469732786</c:v>
                </c:pt>
                <c:pt idx="400">
                  <c:v>47.012983931352736</c:v>
                </c:pt>
                <c:pt idx="401">
                  <c:v>47.011181905719198</c:v>
                </c:pt>
                <c:pt idx="402">
                  <c:v>47.009396463973069</c:v>
                </c:pt>
                <c:pt idx="403">
                  <c:v>47.007627676600528</c:v>
                </c:pt>
                <c:pt idx="404">
                  <c:v>47.005875613430277</c:v>
                </c:pt>
                <c:pt idx="405">
                  <c:v>47.004140343630766</c:v>
                </c:pt>
                <c:pt idx="406">
                  <c:v>47.002421935707474</c:v>
                </c:pt>
                <c:pt idx="407">
                  <c:v>47.000720457500201</c:v>
                </c:pt>
                <c:pt idx="408">
                  <c:v>46.999035976180402</c:v>
                </c:pt>
                <c:pt idx="409">
                  <c:v>46.997368558248503</c:v>
                </c:pt>
                <c:pt idx="410">
                  <c:v>46.995718269531324</c:v>
                </c:pt>
                <c:pt idx="411">
                  <c:v>46.994085175179428</c:v>
                </c:pt>
                <c:pt idx="412">
                  <c:v>46.992469339664581</c:v>
                </c:pt>
                <c:pt idx="413">
                  <c:v>46.990870826777211</c:v>
                </c:pt>
                <c:pt idx="414">
                  <c:v>46.989289699623868</c:v>
                </c:pt>
                <c:pt idx="415">
                  <c:v>46.987726020624741</c:v>
                </c:pt>
                <c:pt idx="416">
                  <c:v>46.986179851511196</c:v>
                </c:pt>
                <c:pt idx="417">
                  <c:v>46.984651253323356</c:v>
                </c:pt>
                <c:pt idx="418">
                  <c:v>46.98314028640764</c:v>
                </c:pt>
                <c:pt idx="419">
                  <c:v>46.981647010414456</c:v>
                </c:pt>
                <c:pt idx="420">
                  <c:v>46.980171484295767</c:v>
                </c:pt>
                <c:pt idx="421">
                  <c:v>46.978713766302825</c:v>
                </c:pt>
                <c:pt idx="422">
                  <c:v>46.977273913983836</c:v>
                </c:pt>
                <c:pt idx="423">
                  <c:v>46.975851984181709</c:v>
                </c:pt>
                <c:pt idx="424">
                  <c:v>46.974448033031798</c:v>
                </c:pt>
                <c:pt idx="425">
                  <c:v>46.973062115959692</c:v>
                </c:pt>
                <c:pt idx="426">
                  <c:v>46.971694287679014</c:v>
                </c:pt>
                <c:pt idx="427">
                  <c:v>46.970344602189293</c:v>
                </c:pt>
                <c:pt idx="428">
                  <c:v>46.969013112773794</c:v>
                </c:pt>
                <c:pt idx="429">
                  <c:v>46.967699871997439</c:v>
                </c:pt>
                <c:pt idx="430">
                  <c:v>46.966404931704737</c:v>
                </c:pt>
                <c:pt idx="431">
                  <c:v>46.965128343017696</c:v>
                </c:pt>
                <c:pt idx="432">
                  <c:v>46.963870156333869</c:v>
                </c:pt>
                <c:pt idx="433">
                  <c:v>46.962630421324292</c:v>
                </c:pt>
                <c:pt idx="434">
                  <c:v>46.961409186931604</c:v>
                </c:pt>
                <c:pt idx="435">
                  <c:v>46.960206501368027</c:v>
                </c:pt>
                <c:pt idx="436">
                  <c:v>46.959022412113541</c:v>
                </c:pt>
                <c:pt idx="437">
                  <c:v>46.957856965913955</c:v>
                </c:pt>
                <c:pt idx="438">
                  <c:v>46.956710208779093</c:v>
                </c:pt>
                <c:pt idx="439">
                  <c:v>46.955582185980958</c:v>
                </c:pt>
                <c:pt idx="440">
                  <c:v>46.954472942051964</c:v>
                </c:pt>
                <c:pt idx="441">
                  <c:v>46.953382520783165</c:v>
                </c:pt>
                <c:pt idx="442">
                  <c:v>46.952310965222516</c:v>
                </c:pt>
                <c:pt idx="443">
                  <c:v>46.951258317673201</c:v>
                </c:pt>
                <c:pt idx="444">
                  <c:v>46.950224619691944</c:v>
                </c:pt>
                <c:pt idx="445">
                  <c:v>46.949209912087369</c:v>
                </c:pt>
                <c:pt idx="446">
                  <c:v>46.948214234918403</c:v>
                </c:pt>
                <c:pt idx="447">
                  <c:v>46.947237627492662</c:v>
                </c:pt>
                <c:pt idx="448">
                  <c:v>46.94628012836494</c:v>
                </c:pt>
                <c:pt idx="449">
                  <c:v>46.945341775335663</c:v>
                </c:pt>
                <c:pt idx="450">
                  <c:v>46.944422605449411</c:v>
                </c:pt>
                <c:pt idx="451">
                  <c:v>46.943522654993423</c:v>
                </c:pt>
                <c:pt idx="452">
                  <c:v>46.942641959496214</c:v>
                </c:pt>
                <c:pt idx="453">
                  <c:v>46.941780553726126</c:v>
                </c:pt>
                <c:pt idx="454">
                  <c:v>46.940938471689982</c:v>
                </c:pt>
                <c:pt idx="455">
                  <c:v>46.940115746631754</c:v>
                </c:pt>
                <c:pt idx="456">
                  <c:v>46.939312411031203</c:v>
                </c:pt>
                <c:pt idx="457">
                  <c:v>46.938528496602643</c:v>
                </c:pt>
                <c:pt idx="458">
                  <c:v>46.937764034293686</c:v>
                </c:pt>
                <c:pt idx="459">
                  <c:v>46.937019054283986</c:v>
                </c:pt>
                <c:pt idx="460">
                  <c:v>46.936293585984075</c:v>
                </c:pt>
                <c:pt idx="461">
                  <c:v>46.935587658034208</c:v>
                </c:pt>
                <c:pt idx="462">
                  <c:v>46.93490129830321</c:v>
                </c:pt>
                <c:pt idx="463">
                  <c:v>46.934234533887384</c:v>
                </c:pt>
                <c:pt idx="464">
                  <c:v>46.933587391109448</c:v>
                </c:pt>
                <c:pt idx="465">
                  <c:v>46.932959895517492</c:v>
                </c:pt>
                <c:pt idx="466">
                  <c:v>46.932352071883969</c:v>
                </c:pt>
                <c:pt idx="467">
                  <c:v>46.931763944204711</c:v>
                </c:pt>
                <c:pt idx="468">
                  <c:v>46.931195535697995</c:v>
                </c:pt>
                <c:pt idx="469">
                  <c:v>46.930646868803613</c:v>
                </c:pt>
                <c:pt idx="470">
                  <c:v>46.930117965181999</c:v>
                </c:pt>
                <c:pt idx="471">
                  <c:v>46.929608845713361</c:v>
                </c:pt>
                <c:pt idx="472">
                  <c:v>46.929119530496862</c:v>
                </c:pt>
                <c:pt idx="473">
                  <c:v>46.928650038849831</c:v>
                </c:pt>
                <c:pt idx="474">
                  <c:v>46.928200389306994</c:v>
                </c:pt>
                <c:pt idx="475">
                  <c:v>46.927770599619741</c:v>
                </c:pt>
                <c:pt idx="476">
                  <c:v>46.927360686755435</c:v>
                </c:pt>
                <c:pt idx="477">
                  <c:v>46.926970666896736</c:v>
                </c:pt>
                <c:pt idx="478">
                  <c:v>46.926600555440963</c:v>
                </c:pt>
                <c:pt idx="479">
                  <c:v>46.926250366999476</c:v>
                </c:pt>
                <c:pt idx="480">
                  <c:v>46.925920115397119</c:v>
                </c:pt>
                <c:pt idx="481">
                  <c:v>46.925609813671656</c:v>
                </c:pt>
                <c:pt idx="482">
                  <c:v>46.92531947407327</c:v>
                </c:pt>
                <c:pt idx="483">
                  <c:v>46.925049108064073</c:v>
                </c:pt>
                <c:pt idx="484">
                  <c:v>46.924798726317647</c:v>
                </c:pt>
                <c:pt idx="485">
                  <c:v>46.924568338718643</c:v>
                </c:pt>
                <c:pt idx="486">
                  <c:v>46.924357954362364</c:v>
                </c:pt>
                <c:pt idx="487">
                  <c:v>46.924167581554428</c:v>
                </c:pt>
                <c:pt idx="488">
                  <c:v>46.923997227810418</c:v>
                </c:pt>
                <c:pt idx="489">
                  <c:v>46.923846899855612</c:v>
                </c:pt>
                <c:pt idx="490">
                  <c:v>46.923716603624705</c:v>
                </c:pt>
                <c:pt idx="491">
                  <c:v>46.923606344261572</c:v>
                </c:pt>
                <c:pt idx="492">
                  <c:v>46.923516126119047</c:v>
                </c:pt>
                <c:pt idx="493">
                  <c:v>46.923445952758804</c:v>
                </c:pt>
                <c:pt idx="494">
                  <c:v>46.923395826951165</c:v>
                </c:pt>
                <c:pt idx="495">
                  <c:v>46.923365750675011</c:v>
                </c:pt>
                <c:pt idx="496">
                  <c:v>46.923355725117688</c:v>
                </c:pt>
                <c:pt idx="497">
                  <c:v>46.923365750675011</c:v>
                </c:pt>
                <c:pt idx="498">
                  <c:v>46.923395826951165</c:v>
                </c:pt>
                <c:pt idx="499">
                  <c:v>46.923445952758804</c:v>
                </c:pt>
                <c:pt idx="500">
                  <c:v>46.923516126119047</c:v>
                </c:pt>
                <c:pt idx="501">
                  <c:v>46.923606344261572</c:v>
                </c:pt>
                <c:pt idx="502">
                  <c:v>46.923716603624705</c:v>
                </c:pt>
                <c:pt idx="503">
                  <c:v>46.923846899855612</c:v>
                </c:pt>
                <c:pt idx="504">
                  <c:v>46.923997227810418</c:v>
                </c:pt>
                <c:pt idx="505">
                  <c:v>46.924167581554421</c:v>
                </c:pt>
                <c:pt idx="506">
                  <c:v>46.924357954362364</c:v>
                </c:pt>
                <c:pt idx="507">
                  <c:v>46.924568338718643</c:v>
                </c:pt>
                <c:pt idx="508">
                  <c:v>46.924798726317647</c:v>
                </c:pt>
                <c:pt idx="509">
                  <c:v>46.925049108064073</c:v>
                </c:pt>
                <c:pt idx="510">
                  <c:v>46.92531947407327</c:v>
                </c:pt>
                <c:pt idx="511">
                  <c:v>46.925609813671656</c:v>
                </c:pt>
                <c:pt idx="512">
                  <c:v>46.925920115397119</c:v>
                </c:pt>
                <c:pt idx="513">
                  <c:v>46.926250366999476</c:v>
                </c:pt>
                <c:pt idx="514">
                  <c:v>46.926600555440963</c:v>
                </c:pt>
                <c:pt idx="515">
                  <c:v>46.926970666896736</c:v>
                </c:pt>
                <c:pt idx="516">
                  <c:v>46.927360686755435</c:v>
                </c:pt>
                <c:pt idx="517">
                  <c:v>46.927770599619741</c:v>
                </c:pt>
                <c:pt idx="518">
                  <c:v>46.928200389306994</c:v>
                </c:pt>
                <c:pt idx="519">
                  <c:v>46.928650038849831</c:v>
                </c:pt>
                <c:pt idx="520">
                  <c:v>46.929119530496862</c:v>
                </c:pt>
                <c:pt idx="521">
                  <c:v>46.929608845713361</c:v>
                </c:pt>
                <c:pt idx="522">
                  <c:v>46.930117965181999</c:v>
                </c:pt>
                <c:pt idx="523">
                  <c:v>46.930646868803613</c:v>
                </c:pt>
                <c:pt idx="524">
                  <c:v>46.931195535697995</c:v>
                </c:pt>
                <c:pt idx="525">
                  <c:v>46.931763944204711</c:v>
                </c:pt>
                <c:pt idx="526">
                  <c:v>46.932352071883969</c:v>
                </c:pt>
                <c:pt idx="527">
                  <c:v>46.932959895517492</c:v>
                </c:pt>
                <c:pt idx="528">
                  <c:v>46.933587391109448</c:v>
                </c:pt>
                <c:pt idx="529">
                  <c:v>46.934234533887384</c:v>
                </c:pt>
                <c:pt idx="530">
                  <c:v>46.93490129830321</c:v>
                </c:pt>
                <c:pt idx="531">
                  <c:v>46.935587658034208</c:v>
                </c:pt>
                <c:pt idx="532">
                  <c:v>46.936293585984075</c:v>
                </c:pt>
                <c:pt idx="533">
                  <c:v>46.937019054283986</c:v>
                </c:pt>
                <c:pt idx="534">
                  <c:v>46.937764034293686</c:v>
                </c:pt>
                <c:pt idx="535">
                  <c:v>46.938528496602643</c:v>
                </c:pt>
                <c:pt idx="536">
                  <c:v>46.939312411031203</c:v>
                </c:pt>
                <c:pt idx="537">
                  <c:v>46.940115746631754</c:v>
                </c:pt>
                <c:pt idx="538">
                  <c:v>46.940938471689982</c:v>
                </c:pt>
                <c:pt idx="539">
                  <c:v>46.941780553726126</c:v>
                </c:pt>
                <c:pt idx="540">
                  <c:v>46.942641959496214</c:v>
                </c:pt>
                <c:pt idx="541">
                  <c:v>46.943522654993423</c:v>
                </c:pt>
                <c:pt idx="542">
                  <c:v>46.944422605449411</c:v>
                </c:pt>
                <c:pt idx="543">
                  <c:v>46.945341775335663</c:v>
                </c:pt>
                <c:pt idx="544">
                  <c:v>46.94628012836494</c:v>
                </c:pt>
                <c:pt idx="545">
                  <c:v>46.947237627492655</c:v>
                </c:pt>
                <c:pt idx="546">
                  <c:v>46.948214234918396</c:v>
                </c:pt>
                <c:pt idx="547">
                  <c:v>46.949209912087369</c:v>
                </c:pt>
                <c:pt idx="548">
                  <c:v>46.950224619691944</c:v>
                </c:pt>
                <c:pt idx="549">
                  <c:v>46.951258317673201</c:v>
                </c:pt>
                <c:pt idx="550">
                  <c:v>46.952310965222516</c:v>
                </c:pt>
                <c:pt idx="551">
                  <c:v>46.953382520783158</c:v>
                </c:pt>
                <c:pt idx="552">
                  <c:v>46.954472942051964</c:v>
                </c:pt>
                <c:pt idx="553">
                  <c:v>46.955582185980958</c:v>
                </c:pt>
                <c:pt idx="554">
                  <c:v>46.956710208779086</c:v>
                </c:pt>
                <c:pt idx="555">
                  <c:v>46.957856965913948</c:v>
                </c:pt>
                <c:pt idx="556">
                  <c:v>46.959022412113541</c:v>
                </c:pt>
                <c:pt idx="557">
                  <c:v>46.960206501368027</c:v>
                </c:pt>
                <c:pt idx="558">
                  <c:v>46.961409186931597</c:v>
                </c:pt>
                <c:pt idx="559">
                  <c:v>46.962630421324292</c:v>
                </c:pt>
                <c:pt idx="560">
                  <c:v>46.963870156333861</c:v>
                </c:pt>
                <c:pt idx="561">
                  <c:v>46.965128343017696</c:v>
                </c:pt>
                <c:pt idx="562">
                  <c:v>46.96640493170473</c:v>
                </c:pt>
                <c:pt idx="563">
                  <c:v>46.967699871997439</c:v>
                </c:pt>
                <c:pt idx="564">
                  <c:v>46.969013112773794</c:v>
                </c:pt>
                <c:pt idx="565">
                  <c:v>46.970344602189286</c:v>
                </c:pt>
                <c:pt idx="566">
                  <c:v>46.971694287679014</c:v>
                </c:pt>
                <c:pt idx="567">
                  <c:v>46.973062115959685</c:v>
                </c:pt>
                <c:pt idx="568">
                  <c:v>46.974448033031798</c:v>
                </c:pt>
                <c:pt idx="569">
                  <c:v>46.975851984181709</c:v>
                </c:pt>
                <c:pt idx="570">
                  <c:v>46.977273913983836</c:v>
                </c:pt>
                <c:pt idx="571">
                  <c:v>46.978713766302825</c:v>
                </c:pt>
                <c:pt idx="572">
                  <c:v>46.980171484295767</c:v>
                </c:pt>
                <c:pt idx="573">
                  <c:v>46.981647010414456</c:v>
                </c:pt>
                <c:pt idx="574">
                  <c:v>46.98314028640764</c:v>
                </c:pt>
                <c:pt idx="575">
                  <c:v>46.984651253323349</c:v>
                </c:pt>
                <c:pt idx="576">
                  <c:v>46.986179851511196</c:v>
                </c:pt>
                <c:pt idx="577">
                  <c:v>46.987726020624741</c:v>
                </c:pt>
                <c:pt idx="578">
                  <c:v>46.989289699623868</c:v>
                </c:pt>
                <c:pt idx="579">
                  <c:v>46.990870826777211</c:v>
                </c:pt>
                <c:pt idx="580">
                  <c:v>46.992469339664581</c:v>
                </c:pt>
                <c:pt idx="581">
                  <c:v>46.994085175179428</c:v>
                </c:pt>
                <c:pt idx="582">
                  <c:v>46.995718269531324</c:v>
                </c:pt>
                <c:pt idx="583">
                  <c:v>46.997368558248503</c:v>
                </c:pt>
                <c:pt idx="584">
                  <c:v>46.999035976180394</c:v>
                </c:pt>
                <c:pt idx="585">
                  <c:v>47.000720457500201</c:v>
                </c:pt>
                <c:pt idx="586">
                  <c:v>47.002421935707467</c:v>
                </c:pt>
                <c:pt idx="587">
                  <c:v>47.004140343630759</c:v>
                </c:pt>
                <c:pt idx="588">
                  <c:v>47.005875613430277</c:v>
                </c:pt>
                <c:pt idx="589">
                  <c:v>47.007627676600528</c:v>
                </c:pt>
                <c:pt idx="590">
                  <c:v>47.009396463973069</c:v>
                </c:pt>
                <c:pt idx="591">
                  <c:v>47.011181905719198</c:v>
                </c:pt>
                <c:pt idx="592">
                  <c:v>47.012983931352728</c:v>
                </c:pt>
                <c:pt idx="593">
                  <c:v>47.014802469732786</c:v>
                </c:pt>
                <c:pt idx="594">
                  <c:v>47.016637449066579</c:v>
                </c:pt>
                <c:pt idx="595">
                  <c:v>47.018488796912266</c:v>
                </c:pt>
                <c:pt idx="596">
                  <c:v>47.020356440181807</c:v>
                </c:pt>
                <c:pt idx="597">
                  <c:v>47.022240305143846</c:v>
                </c:pt>
                <c:pt idx="598">
                  <c:v>47.024140317426614</c:v>
                </c:pt>
                <c:pt idx="599">
                  <c:v>47.026056402020885</c:v>
                </c:pt>
                <c:pt idx="600">
                  <c:v>47.027988483282918</c:v>
                </c:pt>
                <c:pt idx="601">
                  <c:v>47.029936484937451</c:v>
                </c:pt>
                <c:pt idx="602">
                  <c:v>47.03190033008071</c:v>
                </c:pt>
                <c:pt idx="603">
                  <c:v>47.033879941183464</c:v>
                </c:pt>
                <c:pt idx="604">
                  <c:v>47.03587524009405</c:v>
                </c:pt>
                <c:pt idx="605">
                  <c:v>47.03788614804148</c:v>
                </c:pt>
                <c:pt idx="606">
                  <c:v>47.039912585638554</c:v>
                </c:pt>
                <c:pt idx="607">
                  <c:v>47.041954472884989</c:v>
                </c:pt>
                <c:pt idx="608">
                  <c:v>47.044011729170563</c:v>
                </c:pt>
                <c:pt idx="609">
                  <c:v>47.046084273278332</c:v>
                </c:pt>
                <c:pt idx="610">
                  <c:v>47.048172023387799</c:v>
                </c:pt>
                <c:pt idx="611">
                  <c:v>47.050274897078161</c:v>
                </c:pt>
                <c:pt idx="612">
                  <c:v>47.052392811331565</c:v>
                </c:pt>
                <c:pt idx="613">
                  <c:v>47.054525682536394</c:v>
                </c:pt>
                <c:pt idx="614">
                  <c:v>47.056673426490534</c:v>
                </c:pt>
                <c:pt idx="615">
                  <c:v>47.058835958404735</c:v>
                </c:pt>
                <c:pt idx="616">
                  <c:v>47.061013192905932</c:v>
                </c:pt>
                <c:pt idx="617">
                  <c:v>47.06320504404065</c:v>
                </c:pt>
                <c:pt idx="618">
                  <c:v>47.065411425278349</c:v>
                </c:pt>
                <c:pt idx="619">
                  <c:v>47.06763224951488</c:v>
                </c:pt>
                <c:pt idx="620">
                  <c:v>47.069867429075899</c:v>
                </c:pt>
                <c:pt idx="621">
                  <c:v>47.072116875720347</c:v>
                </c:pt>
                <c:pt idx="622">
                  <c:v>47.074380500643926</c:v>
                </c:pt>
                <c:pt idx="623">
                  <c:v>47.076658214482592</c:v>
                </c:pt>
                <c:pt idx="624">
                  <c:v>47.078949927316117</c:v>
                </c:pt>
                <c:pt idx="625">
                  <c:v>47.081255548671585</c:v>
                </c:pt>
                <c:pt idx="626">
                  <c:v>47.083574987527022</c:v>
                </c:pt>
                <c:pt idx="627">
                  <c:v>47.08590815231495</c:v>
                </c:pt>
                <c:pt idx="628">
                  <c:v>47.088254950926029</c:v>
                </c:pt>
                <c:pt idx="629">
                  <c:v>47.090615290712648</c:v>
                </c:pt>
                <c:pt idx="630">
                  <c:v>47.092989078492657</c:v>
                </c:pt>
                <c:pt idx="631">
                  <c:v>47.095376220552964</c:v>
                </c:pt>
                <c:pt idx="632">
                  <c:v>47.097776622653285</c:v>
                </c:pt>
                <c:pt idx="633">
                  <c:v>47.100190190029863</c:v>
                </c:pt>
                <c:pt idx="634">
                  <c:v>47.102616827399196</c:v>
                </c:pt>
                <c:pt idx="635">
                  <c:v>47.105056438961782</c:v>
                </c:pt>
                <c:pt idx="636">
                  <c:v>47.107508928405949</c:v>
                </c:pt>
                <c:pt idx="637">
                  <c:v>47.109974198911601</c:v>
                </c:pt>
                <c:pt idx="638">
                  <c:v>47.112452153154081</c:v>
                </c:pt>
                <c:pt idx="639">
                  <c:v>47.114942693308002</c:v>
                </c:pt>
                <c:pt idx="640">
                  <c:v>47.117445721051098</c:v>
                </c:pt>
                <c:pt idx="641">
                  <c:v>47.119961137568133</c:v>
                </c:pt>
                <c:pt idx="642">
                  <c:v>47.122488843554756</c:v>
                </c:pt>
                <c:pt idx="643">
                  <c:v>47.125028739221463</c:v>
                </c:pt>
                <c:pt idx="644">
                  <c:v>47.12758072429753</c:v>
                </c:pt>
                <c:pt idx="645">
                  <c:v>47.130144698034954</c:v>
                </c:pt>
                <c:pt idx="646">
                  <c:v>47.132720559212437</c:v>
                </c:pt>
                <c:pt idx="647">
                  <c:v>47.135308206139399</c:v>
                </c:pt>
                <c:pt idx="648">
                  <c:v>47.137907536659959</c:v>
                </c:pt>
                <c:pt idx="649">
                  <c:v>47.14051844815701</c:v>
                </c:pt>
                <c:pt idx="650">
                  <c:v>47.143140837556231</c:v>
                </c:pt>
                <c:pt idx="651">
                  <c:v>47.145774601330174</c:v>
                </c:pt>
                <c:pt idx="652">
                  <c:v>47.148419635502364</c:v>
                </c:pt>
                <c:pt idx="653">
                  <c:v>47.151075835651376</c:v>
                </c:pt>
                <c:pt idx="654">
                  <c:v>47.15374309691498</c:v>
                </c:pt>
                <c:pt idx="655">
                  <c:v>47.156421313994265</c:v>
                </c:pt>
                <c:pt idx="656">
                  <c:v>47.159110381157802</c:v>
                </c:pt>
                <c:pt idx="657">
                  <c:v>47.161810192245838</c:v>
                </c:pt>
                <c:pt idx="658">
                  <c:v>47.164520640674439</c:v>
                </c:pt>
                <c:pt idx="659">
                  <c:v>47.16724161943975</c:v>
                </c:pt>
                <c:pt idx="660">
                  <c:v>47.169973021122182</c:v>
                </c:pt>
                <c:pt idx="661">
                  <c:v>47.172714737890679</c:v>
                </c:pt>
                <c:pt idx="662">
                  <c:v>47.17546666150696</c:v>
                </c:pt>
                <c:pt idx="663">
                  <c:v>47.178228683329792</c:v>
                </c:pt>
                <c:pt idx="664">
                  <c:v>47.181000694319273</c:v>
                </c:pt>
                <c:pt idx="665">
                  <c:v>47.183782585041165</c:v>
                </c:pt>
                <c:pt idx="666">
                  <c:v>47.186574245671189</c:v>
                </c:pt>
                <c:pt idx="667">
                  <c:v>47.189375565999349</c:v>
                </c:pt>
                <c:pt idx="668">
                  <c:v>47.19218643543433</c:v>
                </c:pt>
                <c:pt idx="669">
                  <c:v>47.195006743007809</c:v>
                </c:pt>
                <c:pt idx="670">
                  <c:v>47.197836377378877</c:v>
                </c:pt>
                <c:pt idx="671">
                  <c:v>47.20067522683842</c:v>
                </c:pt>
                <c:pt idx="672">
                  <c:v>47.203523179313507</c:v>
                </c:pt>
                <c:pt idx="673">
                  <c:v>47.206380122371868</c:v>
                </c:pt>
                <c:pt idx="674">
                  <c:v>47.209245943226271</c:v>
                </c:pt>
                <c:pt idx="675">
                  <c:v>47.212120528739021</c:v>
                </c:pt>
                <c:pt idx="676">
                  <c:v>47.215003765426395</c:v>
                </c:pt>
                <c:pt idx="677">
                  <c:v>47.217895539463164</c:v>
                </c:pt>
                <c:pt idx="678">
                  <c:v>47.220795736687023</c:v>
                </c:pt>
                <c:pt idx="679">
                  <c:v>47.223704242603155</c:v>
                </c:pt>
                <c:pt idx="680">
                  <c:v>47.226620942388735</c:v>
                </c:pt>
                <c:pt idx="681">
                  <c:v>47.229545720897441</c:v>
                </c:pt>
                <c:pt idx="682">
                  <c:v>47.232478462664034</c:v>
                </c:pt>
                <c:pt idx="683">
                  <c:v>47.235419051908877</c:v>
                </c:pt>
                <c:pt idx="684">
                  <c:v>47.238367372542555</c:v>
                </c:pt>
                <c:pt idx="685">
                  <c:v>47.241323308170415</c:v>
                </c:pt>
                <c:pt idx="686">
                  <c:v>47.244286742097174</c:v>
                </c:pt>
                <c:pt idx="687">
                  <c:v>47.247257557331544</c:v>
                </c:pt>
                <c:pt idx="688">
                  <c:v>47.250235636590816</c:v>
                </c:pt>
                <c:pt idx="689">
                  <c:v>47.253220862305525</c:v>
                </c:pt>
                <c:pt idx="690">
                  <c:v>47.256213116624068</c:v>
                </c:pt>
                <c:pt idx="691">
                  <c:v>47.259212281417376</c:v>
                </c:pt>
                <c:pt idx="692">
                  <c:v>47.262218238283552</c:v>
                </c:pt>
                <c:pt idx="693">
                  <c:v>47.265230868552571</c:v>
                </c:pt>
                <c:pt idx="694">
                  <c:v>47.268250053290942</c:v>
                </c:pt>
                <c:pt idx="695">
                  <c:v>47.271275673306427</c:v>
                </c:pt>
                <c:pt idx="696">
                  <c:v>47.274307609152721</c:v>
                </c:pt>
                <c:pt idx="697">
                  <c:v>47.277345741134198</c:v>
                </c:pt>
                <c:pt idx="698">
                  <c:v>47.280389949310596</c:v>
                </c:pt>
                <c:pt idx="699">
                  <c:v>47.283440113501804</c:v>
                </c:pt>
                <c:pt idx="700">
                  <c:v>47.286496113292557</c:v>
                </c:pt>
                <c:pt idx="701">
                  <c:v>47.289557828037211</c:v>
                </c:pt>
                <c:pt idx="702">
                  <c:v>47.292625136864515</c:v>
                </c:pt>
                <c:pt idx="703">
                  <c:v>47.295697918682372</c:v>
                </c:pt>
                <c:pt idx="704">
                  <c:v>47.298776052182603</c:v>
                </c:pt>
                <c:pt idx="705">
                  <c:v>47.301859415845783</c:v>
                </c:pt>
                <c:pt idx="706">
                  <c:v>47.304947887945993</c:v>
                </c:pt>
                <c:pt idx="707">
                  <c:v>47.308041346555633</c:v>
                </c:pt>
                <c:pt idx="708">
                  <c:v>47.311139669550265</c:v>
                </c:pt>
                <c:pt idx="709">
                  <c:v>47.314242734613394</c:v>
                </c:pt>
                <c:pt idx="710">
                  <c:v>47.317350419241329</c:v>
                </c:pt>
                <c:pt idx="711">
                  <c:v>47.320462600748002</c:v>
                </c:pt>
                <c:pt idx="712">
                  <c:v>47.323579156269808</c:v>
                </c:pt>
                <c:pt idx="713">
                  <c:v>47.326699962770483</c:v>
                </c:pt>
                <c:pt idx="714">
                  <c:v>47.329824897045931</c:v>
                </c:pt>
                <c:pt idx="715">
                  <c:v>47.332953835729086</c:v>
                </c:pt>
                <c:pt idx="716">
                  <c:v>47.336086655294807</c:v>
                </c:pt>
                <c:pt idx="717">
                  <c:v>47.339223232064754</c:v>
                </c:pt>
                <c:pt idx="718">
                  <c:v>47.342363442212239</c:v>
                </c:pt>
                <c:pt idx="719">
                  <c:v>47.345507161767145</c:v>
                </c:pt>
                <c:pt idx="720">
                  <c:v>47.348654266620798</c:v>
                </c:pt>
                <c:pt idx="721">
                  <c:v>47.3518046325309</c:v>
                </c:pt>
                <c:pt idx="722">
                  <c:v>47.354958135126388</c:v>
                </c:pt>
                <c:pt idx="723">
                  <c:v>47.358114649912388</c:v>
                </c:pt>
                <c:pt idx="724">
                  <c:v>47.3612740522751</c:v>
                </c:pt>
                <c:pt idx="725">
                  <c:v>47.364436217486727</c:v>
                </c:pt>
                <c:pt idx="726">
                  <c:v>47.367601020710396</c:v>
                </c:pt>
                <c:pt idx="727">
                  <c:v>47.370768337005096</c:v>
                </c:pt>
                <c:pt idx="728">
                  <c:v>47.373938041330611</c:v>
                </c:pt>
                <c:pt idx="729">
                  <c:v>47.377110008552428</c:v>
                </c:pt>
                <c:pt idx="730">
                  <c:v>47.380284113446727</c:v>
                </c:pt>
                <c:pt idx="731">
                  <c:v>47.383460230705275</c:v>
                </c:pt>
                <c:pt idx="732">
                  <c:v>47.386638234940399</c:v>
                </c:pt>
                <c:pt idx="733">
                  <c:v>47.389818000689942</c:v>
                </c:pt>
                <c:pt idx="734">
                  <c:v>47.392999402422184</c:v>
                </c:pt>
                <c:pt idx="735">
                  <c:v>47.396182314540845</c:v>
                </c:pt>
                <c:pt idx="736">
                  <c:v>47.399366611389993</c:v>
                </c:pt>
                <c:pt idx="737">
                  <c:v>47.402552167259046</c:v>
                </c:pt>
                <c:pt idx="738">
                  <c:v>47.405738856387714</c:v>
                </c:pt>
                <c:pt idx="739">
                  <c:v>47.408926552970968</c:v>
                </c:pt>
                <c:pt idx="740">
                  <c:v>47.412115131164001</c:v>
                </c:pt>
                <c:pt idx="741">
                  <c:v>47.415304465087203</c:v>
                </c:pt>
                <c:pt idx="742">
                  <c:v>47.418494428831139</c:v>
                </c:pt>
                <c:pt idx="743">
                  <c:v>47.4216848964615</c:v>
                </c:pt>
                <c:pt idx="744">
                  <c:v>47.424875742024085</c:v>
                </c:pt>
                <c:pt idx="745">
                  <c:v>47.428066839549778</c:v>
                </c:pt>
                <c:pt idx="746">
                  <c:v>47.431258063059509</c:v>
                </c:pt>
                <c:pt idx="747">
                  <c:v>47.434449286569247</c:v>
                </c:pt>
                <c:pt idx="748">
                  <c:v>47.437640384094941</c:v>
                </c:pt>
                <c:pt idx="749">
                  <c:v>47.440831229657526</c:v>
                </c:pt>
                <c:pt idx="750">
                  <c:v>47.444021697287887</c:v>
                </c:pt>
                <c:pt idx="751">
                  <c:v>47.447211661031822</c:v>
                </c:pt>
                <c:pt idx="752">
                  <c:v>47.450400994955025</c:v>
                </c:pt>
                <c:pt idx="753">
                  <c:v>47.453589573148058</c:v>
                </c:pt>
                <c:pt idx="754">
                  <c:v>47.456777269731312</c:v>
                </c:pt>
                <c:pt idx="755">
                  <c:v>47.45996395885998</c:v>
                </c:pt>
                <c:pt idx="756">
                  <c:v>47.463149514729032</c:v>
                </c:pt>
                <c:pt idx="757">
                  <c:v>47.466333811578181</c:v>
                </c:pt>
                <c:pt idx="758">
                  <c:v>47.469516723696835</c:v>
                </c:pt>
                <c:pt idx="759">
                  <c:v>47.472698125429083</c:v>
                </c:pt>
                <c:pt idx="760">
                  <c:v>47.475877891178619</c:v>
                </c:pt>
                <c:pt idx="761">
                  <c:v>47.479055895413751</c:v>
                </c:pt>
                <c:pt idx="762">
                  <c:v>47.482232012672291</c:v>
                </c:pt>
                <c:pt idx="763">
                  <c:v>47.48540611756659</c:v>
                </c:pt>
                <c:pt idx="764">
                  <c:v>47.488578084788415</c:v>
                </c:pt>
                <c:pt idx="765">
                  <c:v>47.49174778911393</c:v>
                </c:pt>
                <c:pt idx="766">
                  <c:v>47.49491510540863</c:v>
                </c:pt>
                <c:pt idx="767">
                  <c:v>47.498079908632299</c:v>
                </c:pt>
                <c:pt idx="768">
                  <c:v>47.501242073843926</c:v>
                </c:pt>
                <c:pt idx="769">
                  <c:v>47.504401476206631</c:v>
                </c:pt>
                <c:pt idx="770">
                  <c:v>47.50755799099263</c:v>
                </c:pt>
                <c:pt idx="771">
                  <c:v>47.510711493588126</c:v>
                </c:pt>
                <c:pt idx="772">
                  <c:v>47.513861859498228</c:v>
                </c:pt>
                <c:pt idx="773">
                  <c:v>47.517008964351881</c:v>
                </c:pt>
                <c:pt idx="774">
                  <c:v>47.520152683906787</c:v>
                </c:pt>
                <c:pt idx="775">
                  <c:v>47.523292894054272</c:v>
                </c:pt>
                <c:pt idx="776">
                  <c:v>47.526429470824212</c:v>
                </c:pt>
                <c:pt idx="777">
                  <c:v>47.52956229038994</c:v>
                </c:pt>
                <c:pt idx="778">
                  <c:v>47.532691229073095</c:v>
                </c:pt>
                <c:pt idx="779">
                  <c:v>47.535816163348535</c:v>
                </c:pt>
                <c:pt idx="780">
                  <c:v>47.53893696984921</c:v>
                </c:pt>
                <c:pt idx="781">
                  <c:v>47.542053525371024</c:v>
                </c:pt>
                <c:pt idx="782">
                  <c:v>47.545165706877697</c:v>
                </c:pt>
                <c:pt idx="783">
                  <c:v>47.548273391505631</c:v>
                </c:pt>
                <c:pt idx="784">
                  <c:v>47.551376456568761</c:v>
                </c:pt>
                <c:pt idx="785">
                  <c:v>47.554474779563385</c:v>
                </c:pt>
                <c:pt idx="786">
                  <c:v>47.557568238173033</c:v>
                </c:pt>
                <c:pt idx="787">
                  <c:v>47.560656710273236</c:v>
                </c:pt>
                <c:pt idx="788">
                  <c:v>47.563740073936422</c:v>
                </c:pt>
                <c:pt idx="789">
                  <c:v>47.566818207436654</c:v>
                </c:pt>
                <c:pt idx="790">
                  <c:v>47.56989098925451</c:v>
                </c:pt>
                <c:pt idx="791">
                  <c:v>47.572958298081815</c:v>
                </c:pt>
                <c:pt idx="792">
                  <c:v>47.576020012826469</c:v>
                </c:pt>
                <c:pt idx="793">
                  <c:v>47.579076012617222</c:v>
                </c:pt>
                <c:pt idx="794">
                  <c:v>47.58212617680843</c:v>
                </c:pt>
                <c:pt idx="795">
                  <c:v>47.585170384984828</c:v>
                </c:pt>
                <c:pt idx="796">
                  <c:v>47.588208516966304</c:v>
                </c:pt>
                <c:pt idx="797">
                  <c:v>47.591240452812599</c:v>
                </c:pt>
                <c:pt idx="798">
                  <c:v>47.594266072828084</c:v>
                </c:pt>
                <c:pt idx="799">
                  <c:v>47.597285257566455</c:v>
                </c:pt>
                <c:pt idx="800">
                  <c:v>47.600297887835474</c:v>
                </c:pt>
                <c:pt idx="801">
                  <c:v>47.603303844701649</c:v>
                </c:pt>
                <c:pt idx="802">
                  <c:v>47.606303009494958</c:v>
                </c:pt>
                <c:pt idx="803">
                  <c:v>47.6092952638135</c:v>
                </c:pt>
                <c:pt idx="804">
                  <c:v>47.61228048952821</c:v>
                </c:pt>
                <c:pt idx="805">
                  <c:v>47.615258568787482</c:v>
                </c:pt>
                <c:pt idx="806">
                  <c:v>47.618229384021852</c:v>
                </c:pt>
                <c:pt idx="807">
                  <c:v>47.621192817948611</c:v>
                </c:pt>
                <c:pt idx="808">
                  <c:v>47.62414875357647</c:v>
                </c:pt>
                <c:pt idx="809">
                  <c:v>47.627097074210148</c:v>
                </c:pt>
                <c:pt idx="810">
                  <c:v>47.630037663454992</c:v>
                </c:pt>
                <c:pt idx="811">
                  <c:v>47.632970405221585</c:v>
                </c:pt>
                <c:pt idx="812">
                  <c:v>47.635895183730291</c:v>
                </c:pt>
                <c:pt idx="813">
                  <c:v>47.638811883515871</c:v>
                </c:pt>
                <c:pt idx="814">
                  <c:v>47.641720389432002</c:v>
                </c:pt>
                <c:pt idx="815">
                  <c:v>47.644620586655869</c:v>
                </c:pt>
                <c:pt idx="816">
                  <c:v>47.64751236069263</c:v>
                </c:pt>
                <c:pt idx="817">
                  <c:v>47.650395597380005</c:v>
                </c:pt>
                <c:pt idx="818">
                  <c:v>47.653270182892754</c:v>
                </c:pt>
                <c:pt idx="819">
                  <c:v>47.656136003747157</c:v>
                </c:pt>
                <c:pt idx="820">
                  <c:v>47.658992946805519</c:v>
                </c:pt>
                <c:pt idx="821">
                  <c:v>47.661840899280605</c:v>
                </c:pt>
                <c:pt idx="822">
                  <c:v>47.664679748740149</c:v>
                </c:pt>
                <c:pt idx="823">
                  <c:v>47.667509383111216</c:v>
                </c:pt>
                <c:pt idx="824">
                  <c:v>47.670329690684696</c:v>
                </c:pt>
                <c:pt idx="825">
                  <c:v>47.673140560119677</c:v>
                </c:pt>
                <c:pt idx="826">
                  <c:v>47.675941880447837</c:v>
                </c:pt>
                <c:pt idx="827">
                  <c:v>47.678733541077861</c:v>
                </c:pt>
                <c:pt idx="828">
                  <c:v>47.681515431799752</c:v>
                </c:pt>
                <c:pt idx="829">
                  <c:v>47.684287442789234</c:v>
                </c:pt>
                <c:pt idx="830">
                  <c:v>47.687049464612066</c:v>
                </c:pt>
                <c:pt idx="831">
                  <c:v>47.689801388228346</c:v>
                </c:pt>
                <c:pt idx="832">
                  <c:v>47.692543104996844</c:v>
                </c:pt>
                <c:pt idx="833">
                  <c:v>47.695274506679283</c:v>
                </c:pt>
                <c:pt idx="834">
                  <c:v>47.697995485444594</c:v>
                </c:pt>
                <c:pt idx="835">
                  <c:v>47.700705933873195</c:v>
                </c:pt>
                <c:pt idx="836">
                  <c:v>47.703405744961223</c:v>
                </c:pt>
                <c:pt idx="837">
                  <c:v>47.706094812124761</c:v>
                </c:pt>
                <c:pt idx="838">
                  <c:v>47.708773029204046</c:v>
                </c:pt>
                <c:pt idx="839">
                  <c:v>47.71144029046765</c:v>
                </c:pt>
                <c:pt idx="840">
                  <c:v>47.714096490616662</c:v>
                </c:pt>
                <c:pt idx="841">
                  <c:v>47.716741524788851</c:v>
                </c:pt>
                <c:pt idx="842">
                  <c:v>47.719375288562794</c:v>
                </c:pt>
                <c:pt idx="843">
                  <c:v>47.721997677962015</c:v>
                </c:pt>
                <c:pt idx="844">
                  <c:v>47.724608589459066</c:v>
                </c:pt>
                <c:pt idx="845">
                  <c:v>47.727207919979627</c:v>
                </c:pt>
                <c:pt idx="846">
                  <c:v>47.729795566906589</c:v>
                </c:pt>
                <c:pt idx="847">
                  <c:v>47.732371428084072</c:v>
                </c:pt>
                <c:pt idx="848">
                  <c:v>47.734935401821495</c:v>
                </c:pt>
                <c:pt idx="849">
                  <c:v>47.737487386897563</c:v>
                </c:pt>
                <c:pt idx="850">
                  <c:v>47.740027282564277</c:v>
                </c:pt>
                <c:pt idx="851">
                  <c:v>47.7425549885509</c:v>
                </c:pt>
                <c:pt idx="852">
                  <c:v>47.745070405067928</c:v>
                </c:pt>
                <c:pt idx="853">
                  <c:v>47.747573432811031</c:v>
                </c:pt>
                <c:pt idx="854">
                  <c:v>47.750063972964952</c:v>
                </c:pt>
                <c:pt idx="855">
                  <c:v>47.752541927207432</c:v>
                </c:pt>
                <c:pt idx="856">
                  <c:v>47.755007197713084</c:v>
                </c:pt>
                <c:pt idx="857">
                  <c:v>47.757459687157244</c:v>
                </c:pt>
                <c:pt idx="858">
                  <c:v>47.75989929871983</c:v>
                </c:pt>
                <c:pt idx="859">
                  <c:v>47.762325936089162</c:v>
                </c:pt>
                <c:pt idx="860">
                  <c:v>47.764739503465741</c:v>
                </c:pt>
                <c:pt idx="861">
                  <c:v>47.767139905566069</c:v>
                </c:pt>
                <c:pt idx="862">
                  <c:v>47.769527047626376</c:v>
                </c:pt>
                <c:pt idx="863">
                  <c:v>47.771900835406377</c:v>
                </c:pt>
                <c:pt idx="864">
                  <c:v>47.774261175193004</c:v>
                </c:pt>
                <c:pt idx="865">
                  <c:v>47.776607973804076</c:v>
                </c:pt>
                <c:pt idx="866">
                  <c:v>47.77894113859201</c:v>
                </c:pt>
                <c:pt idx="867">
                  <c:v>47.781260577447448</c:v>
                </c:pt>
                <c:pt idx="868">
                  <c:v>47.783566198802916</c:v>
                </c:pt>
                <c:pt idx="869">
                  <c:v>47.785857911636434</c:v>
                </c:pt>
                <c:pt idx="870">
                  <c:v>47.788135625475107</c:v>
                </c:pt>
                <c:pt idx="871">
                  <c:v>47.790399250398686</c:v>
                </c:pt>
                <c:pt idx="872">
                  <c:v>47.792648697043134</c:v>
                </c:pt>
                <c:pt idx="873">
                  <c:v>47.794883876604153</c:v>
                </c:pt>
                <c:pt idx="874">
                  <c:v>47.797104700840684</c:v>
                </c:pt>
                <c:pt idx="875">
                  <c:v>47.799311082078383</c:v>
                </c:pt>
                <c:pt idx="876">
                  <c:v>47.801502933213094</c:v>
                </c:pt>
                <c:pt idx="877">
                  <c:v>47.803680167714298</c:v>
                </c:pt>
                <c:pt idx="878">
                  <c:v>47.805842699628499</c:v>
                </c:pt>
                <c:pt idx="879">
                  <c:v>47.807990443582639</c:v>
                </c:pt>
                <c:pt idx="880">
                  <c:v>47.810123314787461</c:v>
                </c:pt>
                <c:pt idx="881">
                  <c:v>47.812241229040872</c:v>
                </c:pt>
                <c:pt idx="882">
                  <c:v>47.814344102731233</c:v>
                </c:pt>
                <c:pt idx="883">
                  <c:v>47.816431852840701</c:v>
                </c:pt>
                <c:pt idx="884">
                  <c:v>47.81850439694847</c:v>
                </c:pt>
                <c:pt idx="885">
                  <c:v>47.820561653234044</c:v>
                </c:pt>
                <c:pt idx="886">
                  <c:v>47.822603540480479</c:v>
                </c:pt>
                <c:pt idx="887">
                  <c:v>47.824629978077553</c:v>
                </c:pt>
                <c:pt idx="888">
                  <c:v>47.826640886024983</c:v>
                </c:pt>
                <c:pt idx="889">
                  <c:v>47.828636184935569</c:v>
                </c:pt>
                <c:pt idx="890">
                  <c:v>47.830615796038323</c:v>
                </c:pt>
                <c:pt idx="891">
                  <c:v>47.832579641181582</c:v>
                </c:pt>
                <c:pt idx="892">
                  <c:v>47.834527642836115</c:v>
                </c:pt>
                <c:pt idx="893">
                  <c:v>47.836459724098148</c:v>
                </c:pt>
                <c:pt idx="894">
                  <c:v>47.838375808692419</c:v>
                </c:pt>
                <c:pt idx="895">
                  <c:v>47.840275820975187</c:v>
                </c:pt>
                <c:pt idx="896">
                  <c:v>47.842159685937226</c:v>
                </c:pt>
                <c:pt idx="897">
                  <c:v>47.844027329206767</c:v>
                </c:pt>
                <c:pt idx="898">
                  <c:v>47.845878677052454</c:v>
                </c:pt>
                <c:pt idx="899">
                  <c:v>47.847713656386247</c:v>
                </c:pt>
                <c:pt idx="900">
                  <c:v>47.849532194766304</c:v>
                </c:pt>
                <c:pt idx="901">
                  <c:v>47.851334220399835</c:v>
                </c:pt>
                <c:pt idx="902">
                  <c:v>47.853119662145964</c:v>
                </c:pt>
                <c:pt idx="903">
                  <c:v>47.854888449518505</c:v>
                </c:pt>
                <c:pt idx="904">
                  <c:v>47.856640512688756</c:v>
                </c:pt>
                <c:pt idx="905">
                  <c:v>47.858375782488274</c:v>
                </c:pt>
                <c:pt idx="906">
                  <c:v>47.860094190411566</c:v>
                </c:pt>
                <c:pt idx="907">
                  <c:v>47.861795668618839</c:v>
                </c:pt>
                <c:pt idx="908">
                  <c:v>47.863480149938638</c:v>
                </c:pt>
                <c:pt idx="909">
                  <c:v>47.86514756787053</c:v>
                </c:pt>
                <c:pt idx="910">
                  <c:v>47.866797856587716</c:v>
                </c:pt>
                <c:pt idx="911">
                  <c:v>47.868430950939612</c:v>
                </c:pt>
                <c:pt idx="912">
                  <c:v>47.870046786454452</c:v>
                </c:pt>
                <c:pt idx="913">
                  <c:v>47.871645299341822</c:v>
                </c:pt>
                <c:pt idx="914">
                  <c:v>47.873226426495172</c:v>
                </c:pt>
                <c:pt idx="915">
                  <c:v>47.874790105494299</c:v>
                </c:pt>
                <c:pt idx="916">
                  <c:v>47.876336274607837</c:v>
                </c:pt>
                <c:pt idx="917">
                  <c:v>47.877864872795683</c:v>
                </c:pt>
                <c:pt idx="918">
                  <c:v>47.879375839711393</c:v>
                </c:pt>
                <c:pt idx="919">
                  <c:v>47.880869115704584</c:v>
                </c:pt>
                <c:pt idx="920">
                  <c:v>47.882344641823273</c:v>
                </c:pt>
                <c:pt idx="921">
                  <c:v>47.883802359816215</c:v>
                </c:pt>
                <c:pt idx="922">
                  <c:v>47.885242212135203</c:v>
                </c:pt>
                <c:pt idx="923">
                  <c:v>47.886664141937324</c:v>
                </c:pt>
                <c:pt idx="924">
                  <c:v>47.888068093087242</c:v>
                </c:pt>
                <c:pt idx="925">
                  <c:v>47.889454010159348</c:v>
                </c:pt>
                <c:pt idx="926">
                  <c:v>47.890821838440026</c:v>
                </c:pt>
                <c:pt idx="927">
                  <c:v>47.892171523929747</c:v>
                </c:pt>
                <c:pt idx="928">
                  <c:v>47.893503013345246</c:v>
                </c:pt>
                <c:pt idx="929">
                  <c:v>47.894816254121601</c:v>
                </c:pt>
                <c:pt idx="930">
                  <c:v>47.896111194414303</c:v>
                </c:pt>
                <c:pt idx="931">
                  <c:v>47.897387783101344</c:v>
                </c:pt>
                <c:pt idx="932">
                  <c:v>47.898645969785171</c:v>
                </c:pt>
                <c:pt idx="933">
                  <c:v>47.899885704794748</c:v>
                </c:pt>
                <c:pt idx="934">
                  <c:v>47.901106939187436</c:v>
                </c:pt>
                <c:pt idx="935">
                  <c:v>47.902309624751013</c:v>
                </c:pt>
                <c:pt idx="936">
                  <c:v>47.903493714005499</c:v>
                </c:pt>
                <c:pt idx="937">
                  <c:v>47.904659160205085</c:v>
                </c:pt>
                <c:pt idx="938">
                  <c:v>47.905805917339954</c:v>
                </c:pt>
                <c:pt idx="939">
                  <c:v>47.906933940138082</c:v>
                </c:pt>
                <c:pt idx="940">
                  <c:v>47.908043184067076</c:v>
                </c:pt>
                <c:pt idx="941">
                  <c:v>47.909133605335882</c:v>
                </c:pt>
                <c:pt idx="942">
                  <c:v>47.910205160896524</c:v>
                </c:pt>
                <c:pt idx="943">
                  <c:v>47.911257808445839</c:v>
                </c:pt>
                <c:pt idx="944">
                  <c:v>47.912291506427096</c:v>
                </c:pt>
                <c:pt idx="945">
                  <c:v>47.913306214031671</c:v>
                </c:pt>
                <c:pt idx="946">
                  <c:v>47.914301891200644</c:v>
                </c:pt>
                <c:pt idx="947">
                  <c:v>47.915278498626385</c:v>
                </c:pt>
                <c:pt idx="948">
                  <c:v>47.9162359977541</c:v>
                </c:pt>
                <c:pt idx="949">
                  <c:v>47.917174350783377</c:v>
                </c:pt>
                <c:pt idx="950">
                  <c:v>47.918093520669629</c:v>
                </c:pt>
                <c:pt idx="951">
                  <c:v>47.918993471125617</c:v>
                </c:pt>
                <c:pt idx="952">
                  <c:v>47.919874166622833</c:v>
                </c:pt>
                <c:pt idx="953">
                  <c:v>47.920735572392914</c:v>
                </c:pt>
                <c:pt idx="954">
                  <c:v>47.921577654429058</c:v>
                </c:pt>
                <c:pt idx="955">
                  <c:v>47.922400379487293</c:v>
                </c:pt>
                <c:pt idx="956">
                  <c:v>47.923203715087844</c:v>
                </c:pt>
                <c:pt idx="957">
                  <c:v>47.923987629516397</c:v>
                </c:pt>
                <c:pt idx="958">
                  <c:v>47.924752091825354</c:v>
                </c:pt>
                <c:pt idx="959">
                  <c:v>47.925497071835061</c:v>
                </c:pt>
                <c:pt idx="960">
                  <c:v>47.926222540134965</c:v>
                </c:pt>
                <c:pt idx="961">
                  <c:v>47.926928468084832</c:v>
                </c:pt>
                <c:pt idx="962">
                  <c:v>47.92761482781583</c:v>
                </c:pt>
                <c:pt idx="963">
                  <c:v>47.928281592231663</c:v>
                </c:pt>
                <c:pt idx="964">
                  <c:v>47.928928735009599</c:v>
                </c:pt>
                <c:pt idx="965">
                  <c:v>47.929556230601555</c:v>
                </c:pt>
                <c:pt idx="966">
                  <c:v>47.930164054235078</c:v>
                </c:pt>
                <c:pt idx="967">
                  <c:v>47.930752181914336</c:v>
                </c:pt>
                <c:pt idx="968">
                  <c:v>47.931320590421052</c:v>
                </c:pt>
                <c:pt idx="969">
                  <c:v>47.931869257315427</c:v>
                </c:pt>
                <c:pt idx="970">
                  <c:v>47.932398160937041</c:v>
                </c:pt>
                <c:pt idx="971">
                  <c:v>47.932907280405679</c:v>
                </c:pt>
                <c:pt idx="972">
                  <c:v>47.933396595622177</c:v>
                </c:pt>
                <c:pt idx="973">
                  <c:v>47.933866087269209</c:v>
                </c:pt>
                <c:pt idx="974">
                  <c:v>47.934315736812053</c:v>
                </c:pt>
                <c:pt idx="975">
                  <c:v>47.934745526499306</c:v>
                </c:pt>
                <c:pt idx="976">
                  <c:v>47.935155439363605</c:v>
                </c:pt>
                <c:pt idx="977">
                  <c:v>47.935545459222304</c:v>
                </c:pt>
                <c:pt idx="978">
                  <c:v>47.935915570678084</c:v>
                </c:pt>
                <c:pt idx="979">
                  <c:v>47.936265759119571</c:v>
                </c:pt>
                <c:pt idx="980">
                  <c:v>47.936596010721928</c:v>
                </c:pt>
                <c:pt idx="981">
                  <c:v>47.936906312447391</c:v>
                </c:pt>
                <c:pt idx="982">
                  <c:v>47.937196652045778</c:v>
                </c:pt>
                <c:pt idx="983">
                  <c:v>47.937467018054974</c:v>
                </c:pt>
                <c:pt idx="984">
                  <c:v>47.937717399801393</c:v>
                </c:pt>
                <c:pt idx="985">
                  <c:v>47.937947787400404</c:v>
                </c:pt>
                <c:pt idx="986">
                  <c:v>47.938158171756683</c:v>
                </c:pt>
                <c:pt idx="987">
                  <c:v>47.938348544564619</c:v>
                </c:pt>
                <c:pt idx="988">
                  <c:v>47.938518898308629</c:v>
                </c:pt>
                <c:pt idx="989">
                  <c:v>47.938669226263436</c:v>
                </c:pt>
                <c:pt idx="990">
                  <c:v>47.938799522494342</c:v>
                </c:pt>
                <c:pt idx="991">
                  <c:v>47.938909781857475</c:v>
                </c:pt>
                <c:pt idx="992">
                  <c:v>47.939</c:v>
                </c:pt>
                <c:pt idx="993">
                  <c:v>47.939070173360243</c:v>
                </c:pt>
                <c:pt idx="994">
                  <c:v>47.939120299167882</c:v>
                </c:pt>
                <c:pt idx="995">
                  <c:v>47.939150375444036</c:v>
                </c:pt>
                <c:pt idx="996">
                  <c:v>47.939160401001359</c:v>
                </c:pt>
                <c:pt idx="997">
                  <c:v>47.939150375444044</c:v>
                </c:pt>
                <c:pt idx="998">
                  <c:v>47.939120299167882</c:v>
                </c:pt>
                <c:pt idx="999">
                  <c:v>47.939070173360243</c:v>
                </c:pt>
                <c:pt idx="1000">
                  <c:v>47.939</c:v>
                </c:pt>
              </c:numCache>
            </c:numRef>
          </c:yVal>
          <c:smooth val="1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ROT3P!$B$4:$B$7</c:f>
              <c:numCache>
                <c:formatCode>General</c:formatCode>
                <c:ptCount val="4"/>
                <c:pt idx="0">
                  <c:v>0</c:v>
                </c:pt>
                <c:pt idx="1">
                  <c:v>38.646999999999998</c:v>
                </c:pt>
                <c:pt idx="2">
                  <c:v>77.293999999999997</c:v>
                </c:pt>
                <c:pt idx="3">
                  <c:v>157.05000000000001</c:v>
                </c:pt>
              </c:numCache>
            </c:numRef>
          </c:xVal>
          <c:yVal>
            <c:numRef>
              <c:f>ROT3P!$C$4:$C$7</c:f>
              <c:numCache>
                <c:formatCode>General</c:formatCode>
                <c:ptCount val="4"/>
                <c:pt idx="0">
                  <c:v>47.939</c:v>
                </c:pt>
                <c:pt idx="1">
                  <c:v>47.430999999999997</c:v>
                </c:pt>
                <c:pt idx="2">
                  <c:v>46.923000000000002</c:v>
                </c:pt>
                <c:pt idx="3">
                  <c:v>47.939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708312"/>
        <c:axId val="321708704"/>
      </c:scatterChart>
      <c:valAx>
        <c:axId val="321708312"/>
        <c:scaling>
          <c:orientation val="minMax"/>
        </c:scaling>
        <c:delete val="0"/>
        <c:axPos val="b"/>
        <c:numFmt formatCode="#,##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21708704"/>
        <c:crosses val="autoZero"/>
        <c:crossBetween val="midCat"/>
      </c:valAx>
      <c:valAx>
        <c:axId val="321708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2170831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35522892844562E-2"/>
          <c:y val="4.1269905242288629E-2"/>
          <c:w val="0.85548440995741559"/>
          <c:h val="0.87142992223140225"/>
        </c:manualLayout>
      </c:layout>
      <c:lineChart>
        <c:grouping val="standard"/>
        <c:varyColors val="0"/>
        <c:ser>
          <c:idx val="0"/>
          <c:order val="0"/>
          <c:tx>
            <c:v>V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KSVI!$A$18:$A$68</c:f>
              <c:numCache>
                <c:formatCode>General</c:formatCode>
                <c:ptCount val="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</c:numCache>
            </c:numRef>
          </c:cat>
          <c:val>
            <c:numRef>
              <c:f>KSVI!$B$18:$B$68</c:f>
              <c:numCache>
                <c:formatCode>General</c:formatCode>
                <c:ptCount val="51"/>
                <c:pt idx="0">
                  <c:v>0</c:v>
                </c:pt>
                <c:pt idx="1">
                  <c:v>12.727922061357857</c:v>
                </c:pt>
                <c:pt idx="2">
                  <c:v>18</c:v>
                </c:pt>
                <c:pt idx="3">
                  <c:v>22.045407685048602</c:v>
                </c:pt>
                <c:pt idx="4">
                  <c:v>25.455844122715714</c:v>
                </c:pt>
                <c:pt idx="5">
                  <c:v>28.460498941515414</c:v>
                </c:pt>
                <c:pt idx="6">
                  <c:v>31.176914536239796</c:v>
                </c:pt>
                <c:pt idx="7">
                  <c:v>33.674916480965479</c:v>
                </c:pt>
                <c:pt idx="8">
                  <c:v>36</c:v>
                </c:pt>
                <c:pt idx="9">
                  <c:v>38.183766184073569</c:v>
                </c:pt>
                <c:pt idx="10">
                  <c:v>40.249223594996216</c:v>
                </c:pt>
                <c:pt idx="11">
                  <c:v>42.213741838410868</c:v>
                </c:pt>
                <c:pt idx="12">
                  <c:v>44.090815370097204</c:v>
                </c:pt>
                <c:pt idx="13">
                  <c:v>45.891175622335062</c:v>
                </c:pt>
                <c:pt idx="14">
                  <c:v>47.623523599162631</c:v>
                </c:pt>
                <c:pt idx="15">
                  <c:v>49.295030175464952</c:v>
                </c:pt>
                <c:pt idx="16">
                  <c:v>50.911688245431428</c:v>
                </c:pt>
                <c:pt idx="17">
                  <c:v>52.478567053607705</c:v>
                </c:pt>
                <c:pt idx="18">
                  <c:v>54</c:v>
                </c:pt>
                <c:pt idx="19">
                  <c:v>55.47972602672079</c:v>
                </c:pt>
                <c:pt idx="20">
                  <c:v>56.920997883030829</c:v>
                </c:pt>
                <c:pt idx="21">
                  <c:v>58.32666628567074</c:v>
                </c:pt>
                <c:pt idx="22">
                  <c:v>59.699246226397207</c:v>
                </c:pt>
                <c:pt idx="23">
                  <c:v>61.040969848127418</c:v>
                </c:pt>
                <c:pt idx="24">
                  <c:v>62.353829072479591</c:v>
                </c:pt>
                <c:pt idx="25">
                  <c:v>63.63961030678928</c:v>
                </c:pt>
                <c:pt idx="26">
                  <c:v>64.899922958351809</c:v>
                </c:pt>
                <c:pt idx="27">
                  <c:v>66.13622305514582</c:v>
                </c:pt>
                <c:pt idx="28">
                  <c:v>67.349832961930957</c:v>
                </c:pt>
                <c:pt idx="29">
                  <c:v>68.541957952775178</c:v>
                </c:pt>
                <c:pt idx="30">
                  <c:v>69.713700231733512</c:v>
                </c:pt>
                <c:pt idx="31">
                  <c:v>70.866070866106298</c:v>
                </c:pt>
                <c:pt idx="32">
                  <c:v>72</c:v>
                </c:pt>
                <c:pt idx="33">
                  <c:v>73.116345641723655</c:v>
                </c:pt>
                <c:pt idx="34">
                  <c:v>74.215901261117892</c:v>
                </c:pt>
                <c:pt idx="35">
                  <c:v>75.29940238806681</c:v>
                </c:pt>
                <c:pt idx="36">
                  <c:v>76.367532368147138</c:v>
                </c:pt>
                <c:pt idx="37">
                  <c:v>77.420927403383644</c:v>
                </c:pt>
                <c:pt idx="38">
                  <c:v>78.46018098373213</c:v>
                </c:pt>
                <c:pt idx="39">
                  <c:v>79.485847796950623</c:v>
                </c:pt>
                <c:pt idx="40">
                  <c:v>80.498447189992433</c:v>
                </c:pt>
                <c:pt idx="41">
                  <c:v>81.498466243236763</c:v>
                </c:pt>
                <c:pt idx="42">
                  <c:v>82.486362509205122</c:v>
                </c:pt>
                <c:pt idx="43">
                  <c:v>83.462566459461343</c:v>
                </c:pt>
                <c:pt idx="44">
                  <c:v>84.427483676821737</c:v>
                </c:pt>
                <c:pt idx="45">
                  <c:v>85.381496824546232</c:v>
                </c:pt>
                <c:pt idx="46">
                  <c:v>86.324967419628948</c:v>
                </c:pt>
                <c:pt idx="47">
                  <c:v>87.258237433493917</c:v>
                </c:pt>
                <c:pt idx="48">
                  <c:v>88.181630740194407</c:v>
                </c:pt>
                <c:pt idx="49">
                  <c:v>89.095454429504997</c:v>
                </c:pt>
                <c:pt idx="50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v>L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KSVI!$A$18:$A$68</c:f>
              <c:numCache>
                <c:formatCode>General</c:formatCode>
                <c:ptCount val="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</c:numCache>
            </c:numRef>
          </c:cat>
          <c:val>
            <c:numRef>
              <c:f>KSVI!$C$18:$C$68</c:f>
              <c:numCache>
                <c:formatCode>General</c:formatCode>
                <c:ptCount val="51"/>
                <c:pt idx="0">
                  <c:v>0</c:v>
                </c:pt>
                <c:pt idx="1">
                  <c:v>3.1415926535897931</c:v>
                </c:pt>
                <c:pt idx="2">
                  <c:v>6.2831853071795862</c:v>
                </c:pt>
                <c:pt idx="3">
                  <c:v>9.4247779607693793</c:v>
                </c:pt>
                <c:pt idx="4">
                  <c:v>12.566370614359172</c:v>
                </c:pt>
                <c:pt idx="5">
                  <c:v>15.707963267948967</c:v>
                </c:pt>
                <c:pt idx="6">
                  <c:v>18.849555921538759</c:v>
                </c:pt>
                <c:pt idx="7">
                  <c:v>21.991148575128552</c:v>
                </c:pt>
                <c:pt idx="8">
                  <c:v>25.132741228718345</c:v>
                </c:pt>
                <c:pt idx="9">
                  <c:v>28.274333882308142</c:v>
                </c:pt>
                <c:pt idx="10">
                  <c:v>31.415926535897935</c:v>
                </c:pt>
                <c:pt idx="11">
                  <c:v>34.557519189487728</c:v>
                </c:pt>
                <c:pt idx="12">
                  <c:v>37.699111843077517</c:v>
                </c:pt>
                <c:pt idx="13">
                  <c:v>40.840704496667314</c:v>
                </c:pt>
                <c:pt idx="14">
                  <c:v>43.982297150257104</c:v>
                </c:pt>
                <c:pt idx="15">
                  <c:v>47.1238898038469</c:v>
                </c:pt>
                <c:pt idx="16">
                  <c:v>50.26548245743669</c:v>
                </c:pt>
                <c:pt idx="17">
                  <c:v>53.407075111026487</c:v>
                </c:pt>
                <c:pt idx="18">
                  <c:v>56.548667764616283</c:v>
                </c:pt>
                <c:pt idx="19">
                  <c:v>59.690260418206073</c:v>
                </c:pt>
                <c:pt idx="20">
                  <c:v>62.831853071795869</c:v>
                </c:pt>
                <c:pt idx="21">
                  <c:v>65.973445725385659</c:v>
                </c:pt>
                <c:pt idx="22">
                  <c:v>69.115038378975456</c:v>
                </c:pt>
                <c:pt idx="23">
                  <c:v>72.256631032565252</c:v>
                </c:pt>
                <c:pt idx="24">
                  <c:v>75.398223686155035</c:v>
                </c:pt>
                <c:pt idx="25">
                  <c:v>78.539816339744831</c:v>
                </c:pt>
                <c:pt idx="26">
                  <c:v>81.681408993334628</c:v>
                </c:pt>
                <c:pt idx="27">
                  <c:v>84.823001646924411</c:v>
                </c:pt>
                <c:pt idx="28">
                  <c:v>87.964594300514207</c:v>
                </c:pt>
                <c:pt idx="29">
                  <c:v>91.106186954104004</c:v>
                </c:pt>
                <c:pt idx="30">
                  <c:v>94.247779607693801</c:v>
                </c:pt>
                <c:pt idx="31">
                  <c:v>97.389372261283597</c:v>
                </c:pt>
                <c:pt idx="32">
                  <c:v>100.53096491487338</c:v>
                </c:pt>
                <c:pt idx="33">
                  <c:v>103.67255756846316</c:v>
                </c:pt>
                <c:pt idx="34">
                  <c:v>106.81415022205297</c:v>
                </c:pt>
                <c:pt idx="35">
                  <c:v>109.95574287564276</c:v>
                </c:pt>
                <c:pt idx="36">
                  <c:v>113.09733552923257</c:v>
                </c:pt>
                <c:pt idx="37">
                  <c:v>116.23892818282235</c:v>
                </c:pt>
                <c:pt idx="38">
                  <c:v>119.38052083641215</c:v>
                </c:pt>
                <c:pt idx="39">
                  <c:v>122.52211349000193</c:v>
                </c:pt>
                <c:pt idx="40">
                  <c:v>125.66370614359174</c:v>
                </c:pt>
                <c:pt idx="41">
                  <c:v>128.80529879718151</c:v>
                </c:pt>
                <c:pt idx="42">
                  <c:v>131.94689145077132</c:v>
                </c:pt>
                <c:pt idx="43">
                  <c:v>135.0884841043611</c:v>
                </c:pt>
                <c:pt idx="44">
                  <c:v>138.23007675795091</c:v>
                </c:pt>
                <c:pt idx="45">
                  <c:v>141.37166941154069</c:v>
                </c:pt>
                <c:pt idx="46">
                  <c:v>144.5132620651305</c:v>
                </c:pt>
                <c:pt idx="47">
                  <c:v>147.65485471872029</c:v>
                </c:pt>
                <c:pt idx="48">
                  <c:v>150.79644737231007</c:v>
                </c:pt>
                <c:pt idx="49">
                  <c:v>153.93804002589988</c:v>
                </c:pt>
                <c:pt idx="50">
                  <c:v>157.07963267948966</c:v>
                </c:pt>
              </c:numCache>
            </c:numRef>
          </c:val>
          <c:smooth val="0"/>
        </c:ser>
        <c:ser>
          <c:idx val="2"/>
          <c:order val="2"/>
          <c:tx>
            <c:v>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KSVI!$A$18:$A$68</c:f>
              <c:numCache>
                <c:formatCode>General</c:formatCode>
                <c:ptCount val="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  <c:pt idx="41">
                  <c:v>205</c:v>
                </c:pt>
                <c:pt idx="42">
                  <c:v>210</c:v>
                </c:pt>
                <c:pt idx="43">
                  <c:v>215</c:v>
                </c:pt>
                <c:pt idx="44">
                  <c:v>220</c:v>
                </c:pt>
                <c:pt idx="45">
                  <c:v>225</c:v>
                </c:pt>
                <c:pt idx="46">
                  <c:v>230</c:v>
                </c:pt>
                <c:pt idx="47">
                  <c:v>235</c:v>
                </c:pt>
                <c:pt idx="48">
                  <c:v>240</c:v>
                </c:pt>
                <c:pt idx="49">
                  <c:v>245</c:v>
                </c:pt>
                <c:pt idx="50">
                  <c:v>250</c:v>
                </c:pt>
              </c:numCache>
            </c:numRef>
          </c:cat>
          <c:val>
            <c:numRef>
              <c:f>KSVI!$D$18:$D$68</c:f>
              <c:numCache>
                <c:formatCode>General</c:formatCode>
                <c:ptCount val="51"/>
                <c:pt idx="0">
                  <c:v>0</c:v>
                </c:pt>
                <c:pt idx="1">
                  <c:v>14.809609793861219</c:v>
                </c:pt>
                <c:pt idx="2">
                  <c:v>20.943951023931955</c:v>
                </c:pt>
                <c:pt idx="3">
                  <c:v>25.650996603237282</c:v>
                </c:pt>
                <c:pt idx="4">
                  <c:v>29.619219587722437</c:v>
                </c:pt>
                <c:pt idx="5">
                  <c:v>33.11529421932034</c:v>
                </c:pt>
                <c:pt idx="6">
                  <c:v>36.275987284684348</c:v>
                </c:pt>
                <c:pt idx="7">
                  <c:v>39.182544528463318</c:v>
                </c:pt>
                <c:pt idx="8">
                  <c:v>41.887902047863911</c:v>
                </c:pt>
                <c:pt idx="9">
                  <c:v>44.428829381583661</c:v>
                </c:pt>
                <c:pt idx="10">
                  <c:v>46.832098206938177</c:v>
                </c:pt>
                <c:pt idx="11">
                  <c:v>49.117918977810248</c:v>
                </c:pt>
                <c:pt idx="12">
                  <c:v>51.301993206474563</c:v>
                </c:pt>
                <c:pt idx="13">
                  <c:v>53.396807481380314</c:v>
                </c:pt>
                <c:pt idx="14">
                  <c:v>55.412485880440542</c:v>
                </c:pt>
                <c:pt idx="15">
                  <c:v>57.357372095454764</c:v>
                </c:pt>
                <c:pt idx="16">
                  <c:v>59.238439175444874</c:v>
                </c:pt>
                <c:pt idx="17">
                  <c:v>61.061585454271608</c:v>
                </c:pt>
                <c:pt idx="18">
                  <c:v>62.831853071795869</c:v>
                </c:pt>
                <c:pt idx="19">
                  <c:v>64.553592484711288</c:v>
                </c:pt>
                <c:pt idx="20">
                  <c:v>66.23058843864068</c:v>
                </c:pt>
                <c:pt idx="21">
                  <c:v>67.866157893128403</c:v>
                </c:pt>
                <c:pt idx="22">
                  <c:v>69.463227173962068</c:v>
                </c:pt>
                <c:pt idx="23">
                  <c:v>71.024393497360421</c:v>
                </c:pt>
                <c:pt idx="24">
                  <c:v>72.551974569368696</c:v>
                </c:pt>
                <c:pt idx="25">
                  <c:v>74.048048969306109</c:v>
                </c:pt>
                <c:pt idx="26">
                  <c:v>75.514489327593182</c:v>
                </c:pt>
                <c:pt idx="27">
                  <c:v>76.952989809711838</c:v>
                </c:pt>
                <c:pt idx="28">
                  <c:v>78.365089056926635</c:v>
                </c:pt>
                <c:pt idx="29">
                  <c:v>79.752189469295914</c:v>
                </c:pt>
                <c:pt idx="30">
                  <c:v>81.115573519472235</c:v>
                </c:pt>
                <c:pt idx="31">
                  <c:v>82.456417637678982</c:v>
                </c:pt>
                <c:pt idx="32">
                  <c:v>83.775804095727821</c:v>
                </c:pt>
                <c:pt idx="33">
                  <c:v>85.074731231618898</c:v>
                </c:pt>
                <c:pt idx="34">
                  <c:v>86.354122289434613</c:v>
                </c:pt>
                <c:pt idx="35">
                  <c:v>87.614833097056419</c:v>
                </c:pt>
                <c:pt idx="36">
                  <c:v>88.857658763167322</c:v>
                </c:pt>
                <c:pt idx="37">
                  <c:v>90.083339542436576</c:v>
                </c:pt>
                <c:pt idx="38">
                  <c:v>91.292565991784599</c:v>
                </c:pt>
                <c:pt idx="39">
                  <c:v>92.485983519724641</c:v>
                </c:pt>
                <c:pt idx="40">
                  <c:v>93.664196413876354</c:v>
                </c:pt>
                <c:pt idx="41">
                  <c:v>94.827771417995649</c:v>
                </c:pt>
                <c:pt idx="42">
                  <c:v>95.977240918616062</c:v>
                </c:pt>
                <c:pt idx="43">
                  <c:v>97.11310579214576</c:v>
                </c:pt>
                <c:pt idx="44">
                  <c:v>98.235837955620497</c:v>
                </c:pt>
                <c:pt idx="45">
                  <c:v>99.345882657961013</c:v>
                </c:pt>
                <c:pt idx="46">
                  <c:v>100.4436605432906</c:v>
                </c:pt>
                <c:pt idx="47">
                  <c:v>101.52956951342904</c:v>
                </c:pt>
                <c:pt idx="48">
                  <c:v>102.60398641294913</c:v>
                </c:pt>
                <c:pt idx="49">
                  <c:v>103.66726855702854</c:v>
                </c:pt>
                <c:pt idx="50">
                  <c:v>104.71975511965977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709488"/>
        <c:axId val="321709880"/>
      </c:lineChart>
      <c:catAx>
        <c:axId val="32170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21709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21709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32170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61344509355681"/>
          <c:y val="0.42698479356747071"/>
          <c:w val="5.8064516129032295E-2"/>
          <c:h val="0.101587468233137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TAYLOR!$C$3:$C$93</c:f>
              <c:numCache>
                <c:formatCode>0.0000</c:formatCode>
                <c:ptCount val="91"/>
                <c:pt idx="0">
                  <c:v>0</c:v>
                </c:pt>
                <c:pt idx="1">
                  <c:v>1.7453292519943295E-2</c:v>
                </c:pt>
                <c:pt idx="2">
                  <c:v>3.4906585039886591E-2</c:v>
                </c:pt>
                <c:pt idx="3">
                  <c:v>5.2359877559829883E-2</c:v>
                </c:pt>
                <c:pt idx="4">
                  <c:v>6.9813170079773182E-2</c:v>
                </c:pt>
                <c:pt idx="5">
                  <c:v>8.7266462599716474E-2</c:v>
                </c:pt>
                <c:pt idx="6">
                  <c:v>0.10471975511965977</c:v>
                </c:pt>
                <c:pt idx="7">
                  <c:v>0.12217304763960307</c:v>
                </c:pt>
                <c:pt idx="8">
                  <c:v>0.13962634015954636</c:v>
                </c:pt>
                <c:pt idx="9">
                  <c:v>0.15707963267948966</c:v>
                </c:pt>
                <c:pt idx="10">
                  <c:v>0.17453292519943295</c:v>
                </c:pt>
                <c:pt idx="11">
                  <c:v>0.19198621771937624</c:v>
                </c:pt>
                <c:pt idx="12">
                  <c:v>0.20943951023931953</c:v>
                </c:pt>
                <c:pt idx="13">
                  <c:v>0.22689280275926282</c:v>
                </c:pt>
                <c:pt idx="14">
                  <c:v>0.24434609527920614</c:v>
                </c:pt>
                <c:pt idx="15">
                  <c:v>0.26179938779914941</c:v>
                </c:pt>
                <c:pt idx="16">
                  <c:v>0.27925268031909273</c:v>
                </c:pt>
                <c:pt idx="17">
                  <c:v>0.29670597283903599</c:v>
                </c:pt>
                <c:pt idx="18">
                  <c:v>0.31415926535897931</c:v>
                </c:pt>
                <c:pt idx="19">
                  <c:v>0.33161255787892263</c:v>
                </c:pt>
                <c:pt idx="20">
                  <c:v>0.3490658503988659</c:v>
                </c:pt>
                <c:pt idx="21">
                  <c:v>0.36651914291880922</c:v>
                </c:pt>
                <c:pt idx="22">
                  <c:v>0.38397243543875248</c:v>
                </c:pt>
                <c:pt idx="23">
                  <c:v>0.40142572795869574</c:v>
                </c:pt>
                <c:pt idx="24">
                  <c:v>0.41887902047863906</c:v>
                </c:pt>
                <c:pt idx="25">
                  <c:v>0.43633231299858238</c:v>
                </c:pt>
                <c:pt idx="26">
                  <c:v>0.45378560551852565</c:v>
                </c:pt>
                <c:pt idx="27">
                  <c:v>0.47123889803846897</c:v>
                </c:pt>
                <c:pt idx="28">
                  <c:v>0.48869219055841229</c:v>
                </c:pt>
                <c:pt idx="29">
                  <c:v>0.50614548307835561</c:v>
                </c:pt>
                <c:pt idx="30">
                  <c:v>0.52359877559829882</c:v>
                </c:pt>
                <c:pt idx="31">
                  <c:v>0.54105206811824214</c:v>
                </c:pt>
                <c:pt idx="32">
                  <c:v>0.55850536063818546</c:v>
                </c:pt>
                <c:pt idx="33">
                  <c:v>0.57595865315812866</c:v>
                </c:pt>
                <c:pt idx="34">
                  <c:v>0.59341194567807198</c:v>
                </c:pt>
                <c:pt idx="35">
                  <c:v>0.6108652381980153</c:v>
                </c:pt>
                <c:pt idx="36">
                  <c:v>0.62831853071795862</c:v>
                </c:pt>
                <c:pt idx="37">
                  <c:v>0.64577182323790194</c:v>
                </c:pt>
                <c:pt idx="38">
                  <c:v>0.66322511575784526</c:v>
                </c:pt>
                <c:pt idx="39">
                  <c:v>0.68067840827778858</c:v>
                </c:pt>
                <c:pt idx="40">
                  <c:v>0.69813170079773179</c:v>
                </c:pt>
                <c:pt idx="41">
                  <c:v>0.71558499331767511</c:v>
                </c:pt>
                <c:pt idx="42">
                  <c:v>0.73303828583761843</c:v>
                </c:pt>
                <c:pt idx="43">
                  <c:v>0.75049157835756175</c:v>
                </c:pt>
                <c:pt idx="44">
                  <c:v>0.76794487087750496</c:v>
                </c:pt>
                <c:pt idx="45">
                  <c:v>0.78539816339744828</c:v>
                </c:pt>
                <c:pt idx="46" formatCode="General">
                  <c:v>0.80285145591739149</c:v>
                </c:pt>
                <c:pt idx="47" formatCode="General">
                  <c:v>0.82030474843733492</c:v>
                </c:pt>
                <c:pt idx="48" formatCode="General">
                  <c:v>0.83775804095727813</c:v>
                </c:pt>
                <c:pt idx="49" formatCode="General">
                  <c:v>0.85521133347722134</c:v>
                </c:pt>
                <c:pt idx="50" formatCode="General">
                  <c:v>0.87266462599716477</c:v>
                </c:pt>
                <c:pt idx="51" formatCode="General">
                  <c:v>0.89011791851710798</c:v>
                </c:pt>
                <c:pt idx="52" formatCode="General">
                  <c:v>0.9075712110370513</c:v>
                </c:pt>
                <c:pt idx="53" formatCode="General">
                  <c:v>0.92502450355699462</c:v>
                </c:pt>
                <c:pt idx="54" formatCode="General">
                  <c:v>0.94247779607693793</c:v>
                </c:pt>
                <c:pt idx="55" formatCode="General">
                  <c:v>0.95993108859688125</c:v>
                </c:pt>
                <c:pt idx="56" formatCode="General">
                  <c:v>0.97738438111682457</c:v>
                </c:pt>
                <c:pt idx="57" formatCode="General">
                  <c:v>0.99483767363676778</c:v>
                </c:pt>
                <c:pt idx="58" formatCode="General">
                  <c:v>1.0122909661567112</c:v>
                </c:pt>
                <c:pt idx="59" formatCode="General">
                  <c:v>1.0297442586766543</c:v>
                </c:pt>
                <c:pt idx="60" formatCode="General">
                  <c:v>1.0471975511965976</c:v>
                </c:pt>
                <c:pt idx="61" formatCode="General">
                  <c:v>1.064650843716541</c:v>
                </c:pt>
                <c:pt idx="62" formatCode="General">
                  <c:v>1.0821041362364843</c:v>
                </c:pt>
                <c:pt idx="63" formatCode="General">
                  <c:v>1.0995574287564276</c:v>
                </c:pt>
                <c:pt idx="64" formatCode="General">
                  <c:v>1.1170107212763709</c:v>
                </c:pt>
                <c:pt idx="65" formatCode="General">
                  <c:v>1.1344640137963142</c:v>
                </c:pt>
                <c:pt idx="66" formatCode="General">
                  <c:v>1.1519173063162573</c:v>
                </c:pt>
                <c:pt idx="67" formatCode="General">
                  <c:v>1.1693705988362009</c:v>
                </c:pt>
                <c:pt idx="68" formatCode="General">
                  <c:v>1.186823891356144</c:v>
                </c:pt>
                <c:pt idx="69" formatCode="General">
                  <c:v>1.2042771838760875</c:v>
                </c:pt>
                <c:pt idx="70" formatCode="General">
                  <c:v>1.2217304763960306</c:v>
                </c:pt>
                <c:pt idx="71" formatCode="General">
                  <c:v>1.2391837689159739</c:v>
                </c:pt>
                <c:pt idx="72" formatCode="General">
                  <c:v>1.2566370614359172</c:v>
                </c:pt>
                <c:pt idx="73" formatCode="General">
                  <c:v>1.2740903539558606</c:v>
                </c:pt>
                <c:pt idx="74" formatCode="General">
                  <c:v>1.2915436464758039</c:v>
                </c:pt>
                <c:pt idx="75" formatCode="General">
                  <c:v>1.3089969389957472</c:v>
                </c:pt>
                <c:pt idx="76" formatCode="General">
                  <c:v>1.3264502315156905</c:v>
                </c:pt>
                <c:pt idx="77" formatCode="General">
                  <c:v>1.3439035240356336</c:v>
                </c:pt>
                <c:pt idx="78" formatCode="General">
                  <c:v>1.3613568165555772</c:v>
                </c:pt>
                <c:pt idx="79" formatCode="General">
                  <c:v>1.3788101090755203</c:v>
                </c:pt>
                <c:pt idx="80" formatCode="General">
                  <c:v>1.3962634015954636</c:v>
                </c:pt>
                <c:pt idx="81" formatCode="General">
                  <c:v>1.4137166941154069</c:v>
                </c:pt>
                <c:pt idx="82" formatCode="General">
                  <c:v>1.4311699866353502</c:v>
                </c:pt>
                <c:pt idx="83" formatCode="General">
                  <c:v>1.4486232791552935</c:v>
                </c:pt>
                <c:pt idx="84" formatCode="General">
                  <c:v>1.4660765716752369</c:v>
                </c:pt>
                <c:pt idx="85" formatCode="General">
                  <c:v>1.48352986419518</c:v>
                </c:pt>
                <c:pt idx="86" formatCode="General">
                  <c:v>1.5009831567151235</c:v>
                </c:pt>
                <c:pt idx="87" formatCode="General">
                  <c:v>1.5184364492350666</c:v>
                </c:pt>
                <c:pt idx="88" formatCode="General">
                  <c:v>1.5358897417550099</c:v>
                </c:pt>
                <c:pt idx="89" formatCode="General">
                  <c:v>1.5533430342749532</c:v>
                </c:pt>
                <c:pt idx="90" formatCode="General">
                  <c:v>1.5707963267948966</c:v>
                </c:pt>
              </c:numCache>
            </c:numRef>
          </c:xVal>
          <c:yVal>
            <c:numRef>
              <c:f>TAYLOR!$D$3:$D$93</c:f>
              <c:numCache>
                <c:formatCode>0.0000</c:formatCode>
                <c:ptCount val="91"/>
                <c:pt idx="0">
                  <c:v>1</c:v>
                </c:pt>
                <c:pt idx="1">
                  <c:v>0.99984769515639127</c:v>
                </c:pt>
                <c:pt idx="2">
                  <c:v>0.99939082701909576</c:v>
                </c:pt>
                <c:pt idx="3">
                  <c:v>0.99862953475457383</c:v>
                </c:pt>
                <c:pt idx="4">
                  <c:v>0.9975640502598242</c:v>
                </c:pt>
                <c:pt idx="5">
                  <c:v>0.99619469809174555</c:v>
                </c:pt>
                <c:pt idx="6">
                  <c:v>0.99452189536827329</c:v>
                </c:pt>
                <c:pt idx="7">
                  <c:v>0.99254615164132198</c:v>
                </c:pt>
                <c:pt idx="8">
                  <c:v>0.99026806874157036</c:v>
                </c:pt>
                <c:pt idx="9">
                  <c:v>0.98768834059513777</c:v>
                </c:pt>
                <c:pt idx="10">
                  <c:v>0.98480775301220802</c:v>
                </c:pt>
                <c:pt idx="11">
                  <c:v>0.98162718344766398</c:v>
                </c:pt>
                <c:pt idx="12">
                  <c:v>0.97814760073380569</c:v>
                </c:pt>
                <c:pt idx="13">
                  <c:v>0.97437006478523525</c:v>
                </c:pt>
                <c:pt idx="14">
                  <c:v>0.97029572627599647</c:v>
                </c:pt>
                <c:pt idx="15">
                  <c:v>0.96592582628906831</c:v>
                </c:pt>
                <c:pt idx="16">
                  <c:v>0.96126169593831889</c:v>
                </c:pt>
                <c:pt idx="17">
                  <c:v>0.95630475596303555</c:v>
                </c:pt>
                <c:pt idx="18">
                  <c:v>0.95105651629515353</c:v>
                </c:pt>
                <c:pt idx="19">
                  <c:v>0.94551857559931685</c:v>
                </c:pt>
                <c:pt idx="20">
                  <c:v>0.93969262078590843</c:v>
                </c:pt>
                <c:pt idx="21">
                  <c:v>0.93358042649720174</c:v>
                </c:pt>
                <c:pt idx="22">
                  <c:v>0.92718385456678742</c:v>
                </c:pt>
                <c:pt idx="23">
                  <c:v>0.92050485345244037</c:v>
                </c:pt>
                <c:pt idx="24">
                  <c:v>0.91354545764260087</c:v>
                </c:pt>
                <c:pt idx="25">
                  <c:v>0.90630778703664994</c:v>
                </c:pt>
                <c:pt idx="26">
                  <c:v>0.89879404629916704</c:v>
                </c:pt>
                <c:pt idx="27">
                  <c:v>0.8910065241883679</c:v>
                </c:pt>
                <c:pt idx="28">
                  <c:v>0.88294759285892699</c:v>
                </c:pt>
                <c:pt idx="29">
                  <c:v>0.87461970713939574</c:v>
                </c:pt>
                <c:pt idx="30">
                  <c:v>0.86602540378443871</c:v>
                </c:pt>
                <c:pt idx="31">
                  <c:v>0.85716730070211233</c:v>
                </c:pt>
                <c:pt idx="32">
                  <c:v>0.84804809615642596</c:v>
                </c:pt>
                <c:pt idx="33">
                  <c:v>0.83867056794542405</c:v>
                </c:pt>
                <c:pt idx="34">
                  <c:v>0.82903757255504174</c:v>
                </c:pt>
                <c:pt idx="35">
                  <c:v>0.8191520442889918</c:v>
                </c:pt>
                <c:pt idx="36">
                  <c:v>0.80901699437494745</c:v>
                </c:pt>
                <c:pt idx="37">
                  <c:v>0.79863551004729283</c:v>
                </c:pt>
                <c:pt idx="38">
                  <c:v>0.7880107536067219</c:v>
                </c:pt>
                <c:pt idx="39">
                  <c:v>0.7771459614569709</c:v>
                </c:pt>
                <c:pt idx="40">
                  <c:v>0.76604444311897801</c:v>
                </c:pt>
                <c:pt idx="41">
                  <c:v>0.75470958022277201</c:v>
                </c:pt>
                <c:pt idx="42">
                  <c:v>0.74314482547739424</c:v>
                </c:pt>
                <c:pt idx="43">
                  <c:v>0.73135370161917046</c:v>
                </c:pt>
                <c:pt idx="44">
                  <c:v>0.71933980033865119</c:v>
                </c:pt>
                <c:pt idx="45">
                  <c:v>0.70710678118654757</c:v>
                </c:pt>
                <c:pt idx="46" formatCode="General">
                  <c:v>0.69465837045899737</c:v>
                </c:pt>
                <c:pt idx="47" formatCode="General">
                  <c:v>0.68199836006249848</c:v>
                </c:pt>
                <c:pt idx="48" formatCode="General">
                  <c:v>0.66913060635885824</c:v>
                </c:pt>
                <c:pt idx="49" formatCode="General">
                  <c:v>0.65605902899050739</c:v>
                </c:pt>
                <c:pt idx="50" formatCode="General">
                  <c:v>0.64278760968653936</c:v>
                </c:pt>
                <c:pt idx="51" formatCode="General">
                  <c:v>0.6293203910498375</c:v>
                </c:pt>
                <c:pt idx="52" formatCode="General">
                  <c:v>0.61566147532565829</c:v>
                </c:pt>
                <c:pt idx="53" formatCode="General">
                  <c:v>0.60181502315204838</c:v>
                </c:pt>
                <c:pt idx="54" formatCode="General">
                  <c:v>0.58778525229247314</c:v>
                </c:pt>
                <c:pt idx="55" formatCode="General">
                  <c:v>0.57357643635104616</c:v>
                </c:pt>
                <c:pt idx="56" formatCode="General">
                  <c:v>0.55919290347074679</c:v>
                </c:pt>
                <c:pt idx="57" formatCode="General">
                  <c:v>0.5446390350150272</c:v>
                </c:pt>
                <c:pt idx="58" formatCode="General">
                  <c:v>0.5299192642332049</c:v>
                </c:pt>
                <c:pt idx="59" formatCode="General">
                  <c:v>0.51503807491005438</c:v>
                </c:pt>
                <c:pt idx="60" formatCode="General">
                  <c:v>0.50000000000000011</c:v>
                </c:pt>
                <c:pt idx="61" formatCode="General">
                  <c:v>0.48480962024633711</c:v>
                </c:pt>
                <c:pt idx="62" formatCode="General">
                  <c:v>0.46947156278589086</c:v>
                </c:pt>
                <c:pt idx="63" formatCode="General">
                  <c:v>0.4539904997395468</c:v>
                </c:pt>
                <c:pt idx="64" formatCode="General">
                  <c:v>0.43837114678907746</c:v>
                </c:pt>
                <c:pt idx="65" formatCode="General">
                  <c:v>0.42261826174069944</c:v>
                </c:pt>
                <c:pt idx="66" formatCode="General">
                  <c:v>0.40673664307580037</c:v>
                </c:pt>
                <c:pt idx="67" formatCode="General">
                  <c:v>0.39073112848927372</c:v>
                </c:pt>
                <c:pt idx="68" formatCode="General">
                  <c:v>0.37460659341591218</c:v>
                </c:pt>
                <c:pt idx="69" formatCode="General">
                  <c:v>0.35836794954530016</c:v>
                </c:pt>
                <c:pt idx="70" formatCode="General">
                  <c:v>0.34202014332566882</c:v>
                </c:pt>
                <c:pt idx="71" formatCode="General">
                  <c:v>0.32556815445715676</c:v>
                </c:pt>
                <c:pt idx="72" formatCode="General">
                  <c:v>0.30901699437494745</c:v>
                </c:pt>
                <c:pt idx="73" formatCode="General">
                  <c:v>0.29237170472273677</c:v>
                </c:pt>
                <c:pt idx="74" formatCode="General">
                  <c:v>0.27563735581699916</c:v>
                </c:pt>
                <c:pt idx="75" formatCode="General">
                  <c:v>0.25881904510252074</c:v>
                </c:pt>
                <c:pt idx="76" formatCode="General">
                  <c:v>0.24192189559966767</c:v>
                </c:pt>
                <c:pt idx="77" formatCode="General">
                  <c:v>0.22495105434386514</c:v>
                </c:pt>
                <c:pt idx="78" formatCode="General">
                  <c:v>0.20791169081775923</c:v>
                </c:pt>
                <c:pt idx="79" formatCode="General">
                  <c:v>0.19080899537654492</c:v>
                </c:pt>
                <c:pt idx="80" formatCode="General">
                  <c:v>0.17364817766693041</c:v>
                </c:pt>
                <c:pt idx="81" formatCode="General">
                  <c:v>0.15643446504023092</c:v>
                </c:pt>
                <c:pt idx="82" formatCode="General">
                  <c:v>0.13917310096006547</c:v>
                </c:pt>
                <c:pt idx="83" formatCode="General">
                  <c:v>0.12186934340514749</c:v>
                </c:pt>
                <c:pt idx="84" formatCode="General">
                  <c:v>0.10452846326765346</c:v>
                </c:pt>
                <c:pt idx="85" formatCode="General">
                  <c:v>8.715574274765836E-2</c:v>
                </c:pt>
                <c:pt idx="86" formatCode="General">
                  <c:v>6.9756473744125233E-2</c:v>
                </c:pt>
                <c:pt idx="87" formatCode="General">
                  <c:v>5.2335956242943966E-2</c:v>
                </c:pt>
                <c:pt idx="88" formatCode="General">
                  <c:v>3.489949670250108E-2</c:v>
                </c:pt>
                <c:pt idx="89" formatCode="General">
                  <c:v>1.7452406437283598E-2</c:v>
                </c:pt>
                <c:pt idx="90" formatCode="General">
                  <c:v>6.1257422745431001E-17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TAYLOR!$C$3:$C$93</c:f>
              <c:numCache>
                <c:formatCode>0.0000</c:formatCode>
                <c:ptCount val="91"/>
                <c:pt idx="0">
                  <c:v>0</c:v>
                </c:pt>
                <c:pt idx="1">
                  <c:v>1.7453292519943295E-2</c:v>
                </c:pt>
                <c:pt idx="2">
                  <c:v>3.4906585039886591E-2</c:v>
                </c:pt>
                <c:pt idx="3">
                  <c:v>5.2359877559829883E-2</c:v>
                </c:pt>
                <c:pt idx="4">
                  <c:v>6.9813170079773182E-2</c:v>
                </c:pt>
                <c:pt idx="5">
                  <c:v>8.7266462599716474E-2</c:v>
                </c:pt>
                <c:pt idx="6">
                  <c:v>0.10471975511965977</c:v>
                </c:pt>
                <c:pt idx="7">
                  <c:v>0.12217304763960307</c:v>
                </c:pt>
                <c:pt idx="8">
                  <c:v>0.13962634015954636</c:v>
                </c:pt>
                <c:pt idx="9">
                  <c:v>0.15707963267948966</c:v>
                </c:pt>
                <c:pt idx="10">
                  <c:v>0.17453292519943295</c:v>
                </c:pt>
                <c:pt idx="11">
                  <c:v>0.19198621771937624</c:v>
                </c:pt>
                <c:pt idx="12">
                  <c:v>0.20943951023931953</c:v>
                </c:pt>
                <c:pt idx="13">
                  <c:v>0.22689280275926282</c:v>
                </c:pt>
                <c:pt idx="14">
                  <c:v>0.24434609527920614</c:v>
                </c:pt>
                <c:pt idx="15">
                  <c:v>0.26179938779914941</c:v>
                </c:pt>
                <c:pt idx="16">
                  <c:v>0.27925268031909273</c:v>
                </c:pt>
                <c:pt idx="17">
                  <c:v>0.29670597283903599</c:v>
                </c:pt>
                <c:pt idx="18">
                  <c:v>0.31415926535897931</c:v>
                </c:pt>
                <c:pt idx="19">
                  <c:v>0.33161255787892263</c:v>
                </c:pt>
                <c:pt idx="20">
                  <c:v>0.3490658503988659</c:v>
                </c:pt>
                <c:pt idx="21">
                  <c:v>0.36651914291880922</c:v>
                </c:pt>
                <c:pt idx="22">
                  <c:v>0.38397243543875248</c:v>
                </c:pt>
                <c:pt idx="23">
                  <c:v>0.40142572795869574</c:v>
                </c:pt>
                <c:pt idx="24">
                  <c:v>0.41887902047863906</c:v>
                </c:pt>
                <c:pt idx="25">
                  <c:v>0.43633231299858238</c:v>
                </c:pt>
                <c:pt idx="26">
                  <c:v>0.45378560551852565</c:v>
                </c:pt>
                <c:pt idx="27">
                  <c:v>0.47123889803846897</c:v>
                </c:pt>
                <c:pt idx="28">
                  <c:v>0.48869219055841229</c:v>
                </c:pt>
                <c:pt idx="29">
                  <c:v>0.50614548307835561</c:v>
                </c:pt>
                <c:pt idx="30">
                  <c:v>0.52359877559829882</c:v>
                </c:pt>
                <c:pt idx="31">
                  <c:v>0.54105206811824214</c:v>
                </c:pt>
                <c:pt idx="32">
                  <c:v>0.55850536063818546</c:v>
                </c:pt>
                <c:pt idx="33">
                  <c:v>0.57595865315812866</c:v>
                </c:pt>
                <c:pt idx="34">
                  <c:v>0.59341194567807198</c:v>
                </c:pt>
                <c:pt idx="35">
                  <c:v>0.6108652381980153</c:v>
                </c:pt>
                <c:pt idx="36">
                  <c:v>0.62831853071795862</c:v>
                </c:pt>
                <c:pt idx="37">
                  <c:v>0.64577182323790194</c:v>
                </c:pt>
                <c:pt idx="38">
                  <c:v>0.66322511575784526</c:v>
                </c:pt>
                <c:pt idx="39">
                  <c:v>0.68067840827778858</c:v>
                </c:pt>
                <c:pt idx="40">
                  <c:v>0.69813170079773179</c:v>
                </c:pt>
                <c:pt idx="41">
                  <c:v>0.71558499331767511</c:v>
                </c:pt>
                <c:pt idx="42">
                  <c:v>0.73303828583761843</c:v>
                </c:pt>
                <c:pt idx="43">
                  <c:v>0.75049157835756175</c:v>
                </c:pt>
                <c:pt idx="44">
                  <c:v>0.76794487087750496</c:v>
                </c:pt>
                <c:pt idx="45">
                  <c:v>0.78539816339744828</c:v>
                </c:pt>
                <c:pt idx="46" formatCode="General">
                  <c:v>0.80285145591739149</c:v>
                </c:pt>
                <c:pt idx="47" formatCode="General">
                  <c:v>0.82030474843733492</c:v>
                </c:pt>
                <c:pt idx="48" formatCode="General">
                  <c:v>0.83775804095727813</c:v>
                </c:pt>
                <c:pt idx="49" formatCode="General">
                  <c:v>0.85521133347722134</c:v>
                </c:pt>
                <c:pt idx="50" formatCode="General">
                  <c:v>0.87266462599716477</c:v>
                </c:pt>
                <c:pt idx="51" formatCode="General">
                  <c:v>0.89011791851710798</c:v>
                </c:pt>
                <c:pt idx="52" formatCode="General">
                  <c:v>0.9075712110370513</c:v>
                </c:pt>
                <c:pt idx="53" formatCode="General">
                  <c:v>0.92502450355699462</c:v>
                </c:pt>
                <c:pt idx="54" formatCode="General">
                  <c:v>0.94247779607693793</c:v>
                </c:pt>
                <c:pt idx="55" formatCode="General">
                  <c:v>0.95993108859688125</c:v>
                </c:pt>
                <c:pt idx="56" formatCode="General">
                  <c:v>0.97738438111682457</c:v>
                </c:pt>
                <c:pt idx="57" formatCode="General">
                  <c:v>0.99483767363676778</c:v>
                </c:pt>
                <c:pt idx="58" formatCode="General">
                  <c:v>1.0122909661567112</c:v>
                </c:pt>
                <c:pt idx="59" formatCode="General">
                  <c:v>1.0297442586766543</c:v>
                </c:pt>
                <c:pt idx="60" formatCode="General">
                  <c:v>1.0471975511965976</c:v>
                </c:pt>
                <c:pt idx="61" formatCode="General">
                  <c:v>1.064650843716541</c:v>
                </c:pt>
                <c:pt idx="62" formatCode="General">
                  <c:v>1.0821041362364843</c:v>
                </c:pt>
                <c:pt idx="63" formatCode="General">
                  <c:v>1.0995574287564276</c:v>
                </c:pt>
                <c:pt idx="64" formatCode="General">
                  <c:v>1.1170107212763709</c:v>
                </c:pt>
                <c:pt idx="65" formatCode="General">
                  <c:v>1.1344640137963142</c:v>
                </c:pt>
                <c:pt idx="66" formatCode="General">
                  <c:v>1.1519173063162573</c:v>
                </c:pt>
                <c:pt idx="67" formatCode="General">
                  <c:v>1.1693705988362009</c:v>
                </c:pt>
                <c:pt idx="68" formatCode="General">
                  <c:v>1.186823891356144</c:v>
                </c:pt>
                <c:pt idx="69" formatCode="General">
                  <c:v>1.2042771838760875</c:v>
                </c:pt>
                <c:pt idx="70" formatCode="General">
                  <c:v>1.2217304763960306</c:v>
                </c:pt>
                <c:pt idx="71" formatCode="General">
                  <c:v>1.2391837689159739</c:v>
                </c:pt>
                <c:pt idx="72" formatCode="General">
                  <c:v>1.2566370614359172</c:v>
                </c:pt>
                <c:pt idx="73" formatCode="General">
                  <c:v>1.2740903539558606</c:v>
                </c:pt>
                <c:pt idx="74" formatCode="General">
                  <c:v>1.2915436464758039</c:v>
                </c:pt>
                <c:pt idx="75" formatCode="General">
                  <c:v>1.3089969389957472</c:v>
                </c:pt>
                <c:pt idx="76" formatCode="General">
                  <c:v>1.3264502315156905</c:v>
                </c:pt>
                <c:pt idx="77" formatCode="General">
                  <c:v>1.3439035240356336</c:v>
                </c:pt>
                <c:pt idx="78" formatCode="General">
                  <c:v>1.3613568165555772</c:v>
                </c:pt>
                <c:pt idx="79" formatCode="General">
                  <c:v>1.3788101090755203</c:v>
                </c:pt>
                <c:pt idx="80" formatCode="General">
                  <c:v>1.3962634015954636</c:v>
                </c:pt>
                <c:pt idx="81" formatCode="General">
                  <c:v>1.4137166941154069</c:v>
                </c:pt>
                <c:pt idx="82" formatCode="General">
                  <c:v>1.4311699866353502</c:v>
                </c:pt>
                <c:pt idx="83" formatCode="General">
                  <c:v>1.4486232791552935</c:v>
                </c:pt>
                <c:pt idx="84" formatCode="General">
                  <c:v>1.4660765716752369</c:v>
                </c:pt>
                <c:pt idx="85" formatCode="General">
                  <c:v>1.48352986419518</c:v>
                </c:pt>
                <c:pt idx="86" formatCode="General">
                  <c:v>1.5009831567151235</c:v>
                </c:pt>
                <c:pt idx="87" formatCode="General">
                  <c:v>1.5184364492350666</c:v>
                </c:pt>
                <c:pt idx="88" formatCode="General">
                  <c:v>1.5358897417550099</c:v>
                </c:pt>
                <c:pt idx="89" formatCode="General">
                  <c:v>1.5533430342749532</c:v>
                </c:pt>
                <c:pt idx="90" formatCode="General">
                  <c:v>1.5707963267948966</c:v>
                </c:pt>
              </c:numCache>
            </c:numRef>
          </c:xVal>
          <c:yVal>
            <c:numRef>
              <c:f>TAYLOR!$E$3:$E$93</c:f>
              <c:numCache>
                <c:formatCode>0.0000</c:formatCode>
                <c:ptCount val="91"/>
                <c:pt idx="0">
                  <c:v>1</c:v>
                </c:pt>
                <c:pt idx="1">
                  <c:v>0.99984769129010664</c:v>
                </c:pt>
                <c:pt idx="2">
                  <c:v>0.99939076516042658</c:v>
                </c:pt>
                <c:pt idx="3">
                  <c:v>0.99862922161095979</c:v>
                </c:pt>
                <c:pt idx="4">
                  <c:v>0.9975630606417063</c:v>
                </c:pt>
                <c:pt idx="5">
                  <c:v>0.99619228225266609</c:v>
                </c:pt>
                <c:pt idx="6">
                  <c:v>0.99451688644383929</c:v>
                </c:pt>
                <c:pt idx="7">
                  <c:v>0.99253687321522566</c:v>
                </c:pt>
                <c:pt idx="8">
                  <c:v>0.99025224256682531</c:v>
                </c:pt>
                <c:pt idx="9">
                  <c:v>0.98766299449863826</c:v>
                </c:pt>
                <c:pt idx="10">
                  <c:v>0.9847691290106646</c:v>
                </c:pt>
                <c:pt idx="11">
                  <c:v>0.98157064610290412</c:v>
                </c:pt>
                <c:pt idx="12">
                  <c:v>0.97806754577535693</c:v>
                </c:pt>
                <c:pt idx="13">
                  <c:v>0.97425982802802313</c:v>
                </c:pt>
                <c:pt idx="14">
                  <c:v>0.97014749286090252</c:v>
                </c:pt>
                <c:pt idx="15">
                  <c:v>0.9657305402739953</c:v>
                </c:pt>
                <c:pt idx="16">
                  <c:v>0.96100897026730125</c:v>
                </c:pt>
                <c:pt idx="17">
                  <c:v>0.95598278284082061</c:v>
                </c:pt>
                <c:pt idx="18">
                  <c:v>0.95065197799455325</c:v>
                </c:pt>
                <c:pt idx="19">
                  <c:v>0.94501655572849907</c:v>
                </c:pt>
                <c:pt idx="20">
                  <c:v>0.93907651604265829</c:v>
                </c:pt>
                <c:pt idx="21">
                  <c:v>0.9328318589370308</c:v>
                </c:pt>
                <c:pt idx="22">
                  <c:v>0.92628258441161648</c:v>
                </c:pt>
                <c:pt idx="23">
                  <c:v>0.91942869246641556</c:v>
                </c:pt>
                <c:pt idx="24">
                  <c:v>0.91227018310142793</c:v>
                </c:pt>
                <c:pt idx="25">
                  <c:v>0.90480705631665359</c:v>
                </c:pt>
                <c:pt idx="26">
                  <c:v>0.89703931211209254</c:v>
                </c:pt>
                <c:pt idx="27">
                  <c:v>0.88896695048774477</c:v>
                </c:pt>
                <c:pt idx="28">
                  <c:v>0.88058997144361029</c:v>
                </c:pt>
                <c:pt idx="29">
                  <c:v>0.87190837497968898</c:v>
                </c:pt>
                <c:pt idx="30">
                  <c:v>0.86292216109598119</c:v>
                </c:pt>
                <c:pt idx="31">
                  <c:v>0.85363132979248657</c:v>
                </c:pt>
                <c:pt idx="32">
                  <c:v>0.84403588106920524</c:v>
                </c:pt>
                <c:pt idx="33">
                  <c:v>0.8341358149261372</c:v>
                </c:pt>
                <c:pt idx="34">
                  <c:v>0.82393113136328244</c:v>
                </c:pt>
                <c:pt idx="35">
                  <c:v>0.81342183038064098</c:v>
                </c:pt>
                <c:pt idx="36">
                  <c:v>0.8026079119782128</c:v>
                </c:pt>
                <c:pt idx="37">
                  <c:v>0.79148937615599801</c:v>
                </c:pt>
                <c:pt idx="38">
                  <c:v>0.78006622291399641</c:v>
                </c:pt>
                <c:pt idx="39">
                  <c:v>0.76833845225220809</c:v>
                </c:pt>
                <c:pt idx="40">
                  <c:v>0.75630606417063317</c:v>
                </c:pt>
                <c:pt idx="41">
                  <c:v>0.74396905866927143</c:v>
                </c:pt>
                <c:pt idx="42">
                  <c:v>0.73132743574812298</c:v>
                </c:pt>
                <c:pt idx="43">
                  <c:v>0.71838119540718792</c:v>
                </c:pt>
                <c:pt idx="44">
                  <c:v>0.70513033764646615</c:v>
                </c:pt>
                <c:pt idx="45">
                  <c:v>0.69157486246595756</c:v>
                </c:pt>
                <c:pt idx="46" formatCode="General">
                  <c:v>0.67771476986566237</c:v>
                </c:pt>
                <c:pt idx="47" formatCode="General">
                  <c:v>0.66355005984558035</c:v>
                </c:pt>
                <c:pt idx="48" formatCode="General">
                  <c:v>0.64908073240571174</c:v>
                </c:pt>
                <c:pt idx="49" formatCode="General">
                  <c:v>0.63430678754605641</c:v>
                </c:pt>
                <c:pt idx="50" formatCode="General">
                  <c:v>0.61922822526661425</c:v>
                </c:pt>
                <c:pt idx="51" formatCode="General">
                  <c:v>0.60384504556738561</c:v>
                </c:pt>
                <c:pt idx="52" formatCode="General">
                  <c:v>0.58815724844837003</c:v>
                </c:pt>
                <c:pt idx="53" formatCode="General">
                  <c:v>0.57216483390956785</c:v>
                </c:pt>
                <c:pt idx="54" formatCode="General">
                  <c:v>0.55586780195097885</c:v>
                </c:pt>
                <c:pt idx="55" formatCode="General">
                  <c:v>0.53926615257260324</c:v>
                </c:pt>
                <c:pt idx="56" formatCode="General">
                  <c:v>0.52235988577444092</c:v>
                </c:pt>
                <c:pt idx="57" formatCode="General">
                  <c:v>0.50514900155649189</c:v>
                </c:pt>
                <c:pt idx="58" formatCode="General">
                  <c:v>0.48763349991875604</c:v>
                </c:pt>
                <c:pt idx="59" formatCode="General">
                  <c:v>0.46981338086123381</c:v>
                </c:pt>
                <c:pt idx="60" formatCode="General">
                  <c:v>0.45168864438392464</c:v>
                </c:pt>
                <c:pt idx="61" formatCode="General">
                  <c:v>0.43325929048682876</c:v>
                </c:pt>
                <c:pt idx="62" formatCode="General">
                  <c:v>0.41452531916994617</c:v>
                </c:pt>
                <c:pt idx="63" formatCode="General">
                  <c:v>0.39548673043327687</c:v>
                </c:pt>
                <c:pt idx="64" formatCode="General">
                  <c:v>0.37614352427682085</c:v>
                </c:pt>
                <c:pt idx="65" formatCode="General">
                  <c:v>0.35649570070057812</c:v>
                </c:pt>
                <c:pt idx="66" formatCode="General">
                  <c:v>0.3365432597045489</c:v>
                </c:pt>
                <c:pt idx="67" formatCode="General">
                  <c:v>0.31628620128873253</c:v>
                </c:pt>
                <c:pt idx="68" formatCode="General">
                  <c:v>0.29572452545312988</c:v>
                </c:pt>
                <c:pt idx="69" formatCode="General">
                  <c:v>0.27485823219774008</c:v>
                </c:pt>
                <c:pt idx="70" formatCode="General">
                  <c:v>0.25368732152256401</c:v>
                </c:pt>
                <c:pt idx="71" formatCode="General">
                  <c:v>0.23221179342760112</c:v>
                </c:pt>
                <c:pt idx="72" formatCode="General">
                  <c:v>0.21043164791285141</c:v>
                </c:pt>
                <c:pt idx="73" formatCode="General">
                  <c:v>0.18834688497831498</c:v>
                </c:pt>
                <c:pt idx="74" formatCode="General">
                  <c:v>0.16595750462399184</c:v>
                </c:pt>
                <c:pt idx="75" formatCode="General">
                  <c:v>0.14326350684988198</c:v>
                </c:pt>
                <c:pt idx="76" formatCode="General">
                  <c:v>0.12026489165598553</c:v>
                </c:pt>
                <c:pt idx="77" formatCode="General">
                  <c:v>9.6961659042302584E-2</c:v>
                </c:pt>
                <c:pt idx="78" formatCode="General">
                  <c:v>7.335380900883226E-2</c:v>
                </c:pt>
                <c:pt idx="79" formatCode="General">
                  <c:v>4.9441341555576002E-2</c:v>
                </c:pt>
                <c:pt idx="80" formatCode="General">
                  <c:v>2.5224256682532586E-2</c:v>
                </c:pt>
                <c:pt idx="81" formatCode="General">
                  <c:v>7.0255438970256989E-4</c:v>
                </c:pt>
                <c:pt idx="82" formatCode="General">
                  <c:v>-2.412376532291427E-2</c:v>
                </c:pt>
                <c:pt idx="83" formatCode="General">
                  <c:v>-4.9254702455317823E-2</c:v>
                </c:pt>
                <c:pt idx="84" formatCode="General">
                  <c:v>-7.4690257007507865E-2</c:v>
                </c:pt>
                <c:pt idx="85" formatCode="General">
                  <c:v>-0.10043042897948462</c:v>
                </c:pt>
                <c:pt idx="86" formatCode="General">
                  <c:v>-0.12647521837124853</c:v>
                </c:pt>
                <c:pt idx="87" formatCode="General">
                  <c:v>-0.15282462518279849</c:v>
                </c:pt>
                <c:pt idx="88" formatCode="General">
                  <c:v>-0.1794786494141356</c:v>
                </c:pt>
                <c:pt idx="89" formatCode="General">
                  <c:v>-0.20643729106525921</c:v>
                </c:pt>
                <c:pt idx="90" formatCode="General">
                  <c:v>-0.23370055013616975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TAYLOR!$C$3:$C$93</c:f>
              <c:numCache>
                <c:formatCode>0.0000</c:formatCode>
                <c:ptCount val="91"/>
                <c:pt idx="0">
                  <c:v>0</c:v>
                </c:pt>
                <c:pt idx="1">
                  <c:v>1.7453292519943295E-2</c:v>
                </c:pt>
                <c:pt idx="2">
                  <c:v>3.4906585039886591E-2</c:v>
                </c:pt>
                <c:pt idx="3">
                  <c:v>5.2359877559829883E-2</c:v>
                </c:pt>
                <c:pt idx="4">
                  <c:v>6.9813170079773182E-2</c:v>
                </c:pt>
                <c:pt idx="5">
                  <c:v>8.7266462599716474E-2</c:v>
                </c:pt>
                <c:pt idx="6">
                  <c:v>0.10471975511965977</c:v>
                </c:pt>
                <c:pt idx="7">
                  <c:v>0.12217304763960307</c:v>
                </c:pt>
                <c:pt idx="8">
                  <c:v>0.13962634015954636</c:v>
                </c:pt>
                <c:pt idx="9">
                  <c:v>0.15707963267948966</c:v>
                </c:pt>
                <c:pt idx="10">
                  <c:v>0.17453292519943295</c:v>
                </c:pt>
                <c:pt idx="11">
                  <c:v>0.19198621771937624</c:v>
                </c:pt>
                <c:pt idx="12">
                  <c:v>0.20943951023931953</c:v>
                </c:pt>
                <c:pt idx="13">
                  <c:v>0.22689280275926282</c:v>
                </c:pt>
                <c:pt idx="14">
                  <c:v>0.24434609527920614</c:v>
                </c:pt>
                <c:pt idx="15">
                  <c:v>0.26179938779914941</c:v>
                </c:pt>
                <c:pt idx="16">
                  <c:v>0.27925268031909273</c:v>
                </c:pt>
                <c:pt idx="17">
                  <c:v>0.29670597283903599</c:v>
                </c:pt>
                <c:pt idx="18">
                  <c:v>0.31415926535897931</c:v>
                </c:pt>
                <c:pt idx="19">
                  <c:v>0.33161255787892263</c:v>
                </c:pt>
                <c:pt idx="20">
                  <c:v>0.3490658503988659</c:v>
                </c:pt>
                <c:pt idx="21">
                  <c:v>0.36651914291880922</c:v>
                </c:pt>
                <c:pt idx="22">
                  <c:v>0.38397243543875248</c:v>
                </c:pt>
                <c:pt idx="23">
                  <c:v>0.40142572795869574</c:v>
                </c:pt>
                <c:pt idx="24">
                  <c:v>0.41887902047863906</c:v>
                </c:pt>
                <c:pt idx="25">
                  <c:v>0.43633231299858238</c:v>
                </c:pt>
                <c:pt idx="26">
                  <c:v>0.45378560551852565</c:v>
                </c:pt>
                <c:pt idx="27">
                  <c:v>0.47123889803846897</c:v>
                </c:pt>
                <c:pt idx="28">
                  <c:v>0.48869219055841229</c:v>
                </c:pt>
                <c:pt idx="29">
                  <c:v>0.50614548307835561</c:v>
                </c:pt>
                <c:pt idx="30">
                  <c:v>0.52359877559829882</c:v>
                </c:pt>
                <c:pt idx="31">
                  <c:v>0.54105206811824214</c:v>
                </c:pt>
                <c:pt idx="32">
                  <c:v>0.55850536063818546</c:v>
                </c:pt>
                <c:pt idx="33">
                  <c:v>0.57595865315812866</c:v>
                </c:pt>
                <c:pt idx="34">
                  <c:v>0.59341194567807198</c:v>
                </c:pt>
                <c:pt idx="35">
                  <c:v>0.6108652381980153</c:v>
                </c:pt>
                <c:pt idx="36">
                  <c:v>0.62831853071795862</c:v>
                </c:pt>
                <c:pt idx="37">
                  <c:v>0.64577182323790194</c:v>
                </c:pt>
                <c:pt idx="38">
                  <c:v>0.66322511575784526</c:v>
                </c:pt>
                <c:pt idx="39">
                  <c:v>0.68067840827778858</c:v>
                </c:pt>
                <c:pt idx="40">
                  <c:v>0.69813170079773179</c:v>
                </c:pt>
                <c:pt idx="41">
                  <c:v>0.71558499331767511</c:v>
                </c:pt>
                <c:pt idx="42">
                  <c:v>0.73303828583761843</c:v>
                </c:pt>
                <c:pt idx="43">
                  <c:v>0.75049157835756175</c:v>
                </c:pt>
                <c:pt idx="44">
                  <c:v>0.76794487087750496</c:v>
                </c:pt>
                <c:pt idx="45">
                  <c:v>0.78539816339744828</c:v>
                </c:pt>
                <c:pt idx="46" formatCode="General">
                  <c:v>0.80285145591739149</c:v>
                </c:pt>
                <c:pt idx="47" formatCode="General">
                  <c:v>0.82030474843733492</c:v>
                </c:pt>
                <c:pt idx="48" formatCode="General">
                  <c:v>0.83775804095727813</c:v>
                </c:pt>
                <c:pt idx="49" formatCode="General">
                  <c:v>0.85521133347722134</c:v>
                </c:pt>
                <c:pt idx="50" formatCode="General">
                  <c:v>0.87266462599716477</c:v>
                </c:pt>
                <c:pt idx="51" formatCode="General">
                  <c:v>0.89011791851710798</c:v>
                </c:pt>
                <c:pt idx="52" formatCode="General">
                  <c:v>0.9075712110370513</c:v>
                </c:pt>
                <c:pt idx="53" formatCode="General">
                  <c:v>0.92502450355699462</c:v>
                </c:pt>
                <c:pt idx="54" formatCode="General">
                  <c:v>0.94247779607693793</c:v>
                </c:pt>
                <c:pt idx="55" formatCode="General">
                  <c:v>0.95993108859688125</c:v>
                </c:pt>
                <c:pt idx="56" formatCode="General">
                  <c:v>0.97738438111682457</c:v>
                </c:pt>
                <c:pt idx="57" formatCode="General">
                  <c:v>0.99483767363676778</c:v>
                </c:pt>
                <c:pt idx="58" formatCode="General">
                  <c:v>1.0122909661567112</c:v>
                </c:pt>
                <c:pt idx="59" formatCode="General">
                  <c:v>1.0297442586766543</c:v>
                </c:pt>
                <c:pt idx="60" formatCode="General">
                  <c:v>1.0471975511965976</c:v>
                </c:pt>
                <c:pt idx="61" formatCode="General">
                  <c:v>1.064650843716541</c:v>
                </c:pt>
                <c:pt idx="62" formatCode="General">
                  <c:v>1.0821041362364843</c:v>
                </c:pt>
                <c:pt idx="63" formatCode="General">
                  <c:v>1.0995574287564276</c:v>
                </c:pt>
                <c:pt idx="64" formatCode="General">
                  <c:v>1.1170107212763709</c:v>
                </c:pt>
                <c:pt idx="65" formatCode="General">
                  <c:v>1.1344640137963142</c:v>
                </c:pt>
                <c:pt idx="66" formatCode="General">
                  <c:v>1.1519173063162573</c:v>
                </c:pt>
                <c:pt idx="67" formatCode="General">
                  <c:v>1.1693705988362009</c:v>
                </c:pt>
                <c:pt idx="68" formatCode="General">
                  <c:v>1.186823891356144</c:v>
                </c:pt>
                <c:pt idx="69" formatCode="General">
                  <c:v>1.2042771838760875</c:v>
                </c:pt>
                <c:pt idx="70" formatCode="General">
                  <c:v>1.2217304763960306</c:v>
                </c:pt>
                <c:pt idx="71" formatCode="General">
                  <c:v>1.2391837689159739</c:v>
                </c:pt>
                <c:pt idx="72" formatCode="General">
                  <c:v>1.2566370614359172</c:v>
                </c:pt>
                <c:pt idx="73" formatCode="General">
                  <c:v>1.2740903539558606</c:v>
                </c:pt>
                <c:pt idx="74" formatCode="General">
                  <c:v>1.2915436464758039</c:v>
                </c:pt>
                <c:pt idx="75" formatCode="General">
                  <c:v>1.3089969389957472</c:v>
                </c:pt>
                <c:pt idx="76" formatCode="General">
                  <c:v>1.3264502315156905</c:v>
                </c:pt>
                <c:pt idx="77" formatCode="General">
                  <c:v>1.3439035240356336</c:v>
                </c:pt>
                <c:pt idx="78" formatCode="General">
                  <c:v>1.3613568165555772</c:v>
                </c:pt>
                <c:pt idx="79" formatCode="General">
                  <c:v>1.3788101090755203</c:v>
                </c:pt>
                <c:pt idx="80" formatCode="General">
                  <c:v>1.3962634015954636</c:v>
                </c:pt>
                <c:pt idx="81" formatCode="General">
                  <c:v>1.4137166941154069</c:v>
                </c:pt>
                <c:pt idx="82" formatCode="General">
                  <c:v>1.4311699866353502</c:v>
                </c:pt>
                <c:pt idx="83" formatCode="General">
                  <c:v>1.4486232791552935</c:v>
                </c:pt>
                <c:pt idx="84" formatCode="General">
                  <c:v>1.4660765716752369</c:v>
                </c:pt>
                <c:pt idx="85" formatCode="General">
                  <c:v>1.48352986419518</c:v>
                </c:pt>
                <c:pt idx="86" formatCode="General">
                  <c:v>1.5009831567151235</c:v>
                </c:pt>
                <c:pt idx="87" formatCode="General">
                  <c:v>1.5184364492350666</c:v>
                </c:pt>
                <c:pt idx="88" formatCode="General">
                  <c:v>1.5358897417550099</c:v>
                </c:pt>
                <c:pt idx="89" formatCode="General">
                  <c:v>1.5533430342749532</c:v>
                </c:pt>
                <c:pt idx="90" formatCode="General">
                  <c:v>1.5707963267948966</c:v>
                </c:pt>
              </c:numCache>
            </c:numRef>
          </c:xVal>
          <c:yVal>
            <c:numRef>
              <c:f>TAYLOR!$G$3:$G$93</c:f>
              <c:numCache>
                <c:formatCode>General</c:formatCode>
                <c:ptCount val="91"/>
                <c:pt idx="0">
                  <c:v>1</c:v>
                </c:pt>
                <c:pt idx="1">
                  <c:v>0.99984769515643046</c:v>
                </c:pt>
                <c:pt idx="2">
                  <c:v>0.9993908270216082</c:v>
                </c:pt>
                <c:pt idx="3">
                  <c:v>0.99862953478319172</c:v>
                </c:pt>
                <c:pt idx="4">
                  <c:v>0.99756405042061225</c:v>
                </c:pt>
                <c:pt idx="5">
                  <c:v>0.99619469870507327</c:v>
                </c:pt>
                <c:pt idx="6">
                  <c:v>0.99452189719955086</c:v>
                </c:pt>
                <c:pt idx="7">
                  <c:v>0.99254615625879328</c:v>
                </c:pt>
                <c:pt idx="8">
                  <c:v>0.99026807902932135</c:v>
                </c:pt>
                <c:pt idx="9">
                  <c:v>0.9876883614494284</c:v>
                </c:pt>
                <c:pt idx="10">
                  <c:v>0.98480779224918025</c:v>
                </c:pt>
                <c:pt idx="11">
                  <c:v>0.98162725295041486</c:v>
                </c:pt>
                <c:pt idx="12">
                  <c:v>0.97814771786674293</c:v>
                </c:pt>
                <c:pt idx="13">
                  <c:v>0.97437025410354761</c:v>
                </c:pt>
                <c:pt idx="14">
                  <c:v>0.97029602155798411</c:v>
                </c:pt>
                <c:pt idx="15">
                  <c:v>0.9659262729189807</c:v>
                </c:pt>
                <c:pt idx="16">
                  <c:v>0.96126235366723733</c:v>
                </c:pt>
                <c:pt idx="17">
                  <c:v>0.95630570207522703</c:v>
                </c:pt>
                <c:pt idx="18">
                  <c:v>0.95105784920719494</c:v>
                </c:pt>
                <c:pt idx="19">
                  <c:v>0.94552041891915861</c:v>
                </c:pt>
                <c:pt idx="20">
                  <c:v>0.93969512785890841</c:v>
                </c:pt>
                <c:pt idx="21">
                  <c:v>0.93358378546600662</c:v>
                </c:pt>
                <c:pt idx="22">
                  <c:v>0.92718829397178826</c:v>
                </c:pt>
                <c:pt idx="23">
                  <c:v>0.92051064839936081</c:v>
                </c:pt>
                <c:pt idx="24">
                  <c:v>0.91355293656360415</c:v>
                </c:pt>
                <c:pt idx="25">
                  <c:v>0.9063173390711704</c:v>
                </c:pt>
                <c:pt idx="26">
                  <c:v>0.89880612932048443</c:v>
                </c:pt>
                <c:pt idx="27">
                  <c:v>0.89102167350174322</c:v>
                </c:pt>
                <c:pt idx="28">
                  <c:v>0.8829664305969166</c:v>
                </c:pt>
                <c:pt idx="29">
                  <c:v>0.87464295237974632</c:v>
                </c:pt>
                <c:pt idx="30">
                  <c:v>0.86605388341574718</c:v>
                </c:pt>
                <c:pt idx="31">
                  <c:v>0.85720196106220592</c:v>
                </c:pt>
                <c:pt idx="32">
                  <c:v>0.84809001546818175</c:v>
                </c:pt>
                <c:pt idx="33">
                  <c:v>0.83872096957450659</c:v>
                </c:pt>
                <c:pt idx="34">
                  <c:v>0.82909783911378476</c:v>
                </c:pt>
                <c:pt idx="35">
                  <c:v>0.81922373261039272</c:v>
                </c:pt>
                <c:pt idx="36">
                  <c:v>0.80910185138047963</c:v>
                </c:pt>
                <c:pt idx="37">
                  <c:v>0.79873548953196716</c:v>
                </c:pt>
                <c:pt idx="38">
                  <c:v>0.78812803396454911</c:v>
                </c:pt>
                <c:pt idx="39">
                  <c:v>0.7772829643696918</c:v>
                </c:pt>
                <c:pt idx="40">
                  <c:v>0.76620385323063445</c:v>
                </c:pt>
                <c:pt idx="41">
                  <c:v>0.75489436582238789</c:v>
                </c:pt>
                <c:pt idx="42">
                  <c:v>0.74335826021173612</c:v>
                </c:pt>
                <c:pt idx="43">
                  <c:v>0.73159938725723539</c:v>
                </c:pt>
                <c:pt idx="44">
                  <c:v>0.71962169060921399</c:v>
                </c:pt>
                <c:pt idx="45">
                  <c:v>0.70742920670977305</c:v>
                </c:pt>
                <c:pt idx="46">
                  <c:v>0.69502606479278617</c:v>
                </c:pt>
                <c:pt idx="47">
                  <c:v>0.68241648688389911</c:v>
                </c:pt>
                <c:pt idx="48">
                  <c:v>0.66960478780053034</c:v>
                </c:pt>
                <c:pt idx="49">
                  <c:v>0.65659537515187061</c:v>
                </c:pt>
                <c:pt idx="50">
                  <c:v>0.64339274933888291</c:v>
                </c:pt>
                <c:pt idx="51">
                  <c:v>0.6300015035543034</c:v>
                </c:pt>
                <c:pt idx="52">
                  <c:v>0.61642632378263962</c:v>
                </c:pt>
                <c:pt idx="53">
                  <c:v>0.60267198880017248</c:v>
                </c:pt>
                <c:pt idx="54">
                  <c:v>0.58874337017495471</c:v>
                </c:pt>
                <c:pt idx="55">
                  <c:v>0.57464543226681186</c:v>
                </c:pt>
                <c:pt idx="56">
                  <c:v>0.56038323222734177</c:v>
                </c:pt>
                <c:pt idx="57">
                  <c:v>0.54596191999991472</c:v>
                </c:pt>
                <c:pt idx="58">
                  <c:v>0.53138673831967331</c:v>
                </c:pt>
                <c:pt idx="59">
                  <c:v>0.51666302271353304</c:v>
                </c:pt>
                <c:pt idx="60">
                  <c:v>0.501796201500181</c:v>
                </c:pt>
                <c:pt idx="61">
                  <c:v>0.48679179579007753</c:v>
                </c:pt>
                <c:pt idx="62">
                  <c:v>0.47165541948545509</c:v>
                </c:pt>
                <c:pt idx="63">
                  <c:v>0.45639277928031846</c:v>
                </c:pt>
                <c:pt idx="64">
                  <c:v>0.44100967466044511</c:v>
                </c:pt>
                <c:pt idx="65">
                  <c:v>0.42551199790338479</c:v>
                </c:pt>
                <c:pt idx="66">
                  <c:v>0.40990573407845987</c:v>
                </c:pt>
                <c:pt idx="67">
                  <c:v>0.39419696104676444</c:v>
                </c:pt>
                <c:pt idx="68">
                  <c:v>0.37839184946116639</c:v>
                </c:pt>
                <c:pt idx="69">
                  <c:v>0.36249666276630454</c:v>
                </c:pt>
                <c:pt idx="70">
                  <c:v>0.34651775719859146</c:v>
                </c:pt>
                <c:pt idx="71">
                  <c:v>0.33046158178621121</c:v>
                </c:pt>
                <c:pt idx="72">
                  <c:v>0.31433467834912066</c:v>
                </c:pt>
                <c:pt idx="73">
                  <c:v>0.29814368149904907</c:v>
                </c:pt>
                <c:pt idx="74">
                  <c:v>0.28189531863949829</c:v>
                </c:pt>
                <c:pt idx="75">
                  <c:v>0.26559640996574235</c:v>
                </c:pt>
                <c:pt idx="76">
                  <c:v>0.24925386846482803</c:v>
                </c:pt>
                <c:pt idx="77">
                  <c:v>0.23287469991557433</c:v>
                </c:pt>
                <c:pt idx="78">
                  <c:v>0.21646600288857221</c:v>
                </c:pt>
                <c:pt idx="79">
                  <c:v>0.20003496874618651</c:v>
                </c:pt>
                <c:pt idx="80">
                  <c:v>0.18358888164255277</c:v>
                </c:pt>
                <c:pt idx="81">
                  <c:v>0.16713511852358012</c:v>
                </c:pt>
                <c:pt idx="82">
                  <c:v>0.15068114912694966</c:v>
                </c:pt>
                <c:pt idx="83">
                  <c:v>0.1342345359821151</c:v>
                </c:pt>
                <c:pt idx="84">
                  <c:v>0.11780293441030268</c:v>
                </c:pt>
                <c:pt idx="85">
                  <c:v>0.10139409252451081</c:v>
                </c:pt>
                <c:pt idx="86">
                  <c:v>8.5015851229510137E-2</c:v>
                </c:pt>
                <c:pt idx="87">
                  <c:v>6.8676144221844787E-2</c:v>
                </c:pt>
                <c:pt idx="88">
                  <c:v>5.2382997989829955E-2</c:v>
                </c:pt>
                <c:pt idx="89">
                  <c:v>3.6144531813554287E-2</c:v>
                </c:pt>
                <c:pt idx="90">
                  <c:v>1.9968957764878226E-2</c:v>
                </c:pt>
              </c:numCache>
            </c:numRef>
          </c:yVal>
          <c:smooth val="1"/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TAYLOR!$C$3:$C$93</c:f>
              <c:numCache>
                <c:formatCode>0.0000</c:formatCode>
                <c:ptCount val="91"/>
                <c:pt idx="0">
                  <c:v>0</c:v>
                </c:pt>
                <c:pt idx="1">
                  <c:v>1.7453292519943295E-2</c:v>
                </c:pt>
                <c:pt idx="2">
                  <c:v>3.4906585039886591E-2</c:v>
                </c:pt>
                <c:pt idx="3">
                  <c:v>5.2359877559829883E-2</c:v>
                </c:pt>
                <c:pt idx="4">
                  <c:v>6.9813170079773182E-2</c:v>
                </c:pt>
                <c:pt idx="5">
                  <c:v>8.7266462599716474E-2</c:v>
                </c:pt>
                <c:pt idx="6">
                  <c:v>0.10471975511965977</c:v>
                </c:pt>
                <c:pt idx="7">
                  <c:v>0.12217304763960307</c:v>
                </c:pt>
                <c:pt idx="8">
                  <c:v>0.13962634015954636</c:v>
                </c:pt>
                <c:pt idx="9">
                  <c:v>0.15707963267948966</c:v>
                </c:pt>
                <c:pt idx="10">
                  <c:v>0.17453292519943295</c:v>
                </c:pt>
                <c:pt idx="11">
                  <c:v>0.19198621771937624</c:v>
                </c:pt>
                <c:pt idx="12">
                  <c:v>0.20943951023931953</c:v>
                </c:pt>
                <c:pt idx="13">
                  <c:v>0.22689280275926282</c:v>
                </c:pt>
                <c:pt idx="14">
                  <c:v>0.24434609527920614</c:v>
                </c:pt>
                <c:pt idx="15">
                  <c:v>0.26179938779914941</c:v>
                </c:pt>
                <c:pt idx="16">
                  <c:v>0.27925268031909273</c:v>
                </c:pt>
                <c:pt idx="17">
                  <c:v>0.29670597283903599</c:v>
                </c:pt>
                <c:pt idx="18">
                  <c:v>0.31415926535897931</c:v>
                </c:pt>
                <c:pt idx="19">
                  <c:v>0.33161255787892263</c:v>
                </c:pt>
                <c:pt idx="20">
                  <c:v>0.3490658503988659</c:v>
                </c:pt>
                <c:pt idx="21">
                  <c:v>0.36651914291880922</c:v>
                </c:pt>
                <c:pt idx="22">
                  <c:v>0.38397243543875248</c:v>
                </c:pt>
                <c:pt idx="23">
                  <c:v>0.40142572795869574</c:v>
                </c:pt>
                <c:pt idx="24">
                  <c:v>0.41887902047863906</c:v>
                </c:pt>
                <c:pt idx="25">
                  <c:v>0.43633231299858238</c:v>
                </c:pt>
                <c:pt idx="26">
                  <c:v>0.45378560551852565</c:v>
                </c:pt>
                <c:pt idx="27">
                  <c:v>0.47123889803846897</c:v>
                </c:pt>
                <c:pt idx="28">
                  <c:v>0.48869219055841229</c:v>
                </c:pt>
                <c:pt idx="29">
                  <c:v>0.50614548307835561</c:v>
                </c:pt>
                <c:pt idx="30">
                  <c:v>0.52359877559829882</c:v>
                </c:pt>
                <c:pt idx="31">
                  <c:v>0.54105206811824214</c:v>
                </c:pt>
                <c:pt idx="32">
                  <c:v>0.55850536063818546</c:v>
                </c:pt>
                <c:pt idx="33">
                  <c:v>0.57595865315812866</c:v>
                </c:pt>
                <c:pt idx="34">
                  <c:v>0.59341194567807198</c:v>
                </c:pt>
                <c:pt idx="35">
                  <c:v>0.6108652381980153</c:v>
                </c:pt>
                <c:pt idx="36">
                  <c:v>0.62831853071795862</c:v>
                </c:pt>
                <c:pt idx="37">
                  <c:v>0.64577182323790194</c:v>
                </c:pt>
                <c:pt idx="38">
                  <c:v>0.66322511575784526</c:v>
                </c:pt>
                <c:pt idx="39">
                  <c:v>0.68067840827778858</c:v>
                </c:pt>
                <c:pt idx="40">
                  <c:v>0.69813170079773179</c:v>
                </c:pt>
                <c:pt idx="41">
                  <c:v>0.71558499331767511</c:v>
                </c:pt>
                <c:pt idx="42">
                  <c:v>0.73303828583761843</c:v>
                </c:pt>
                <c:pt idx="43">
                  <c:v>0.75049157835756175</c:v>
                </c:pt>
                <c:pt idx="44">
                  <c:v>0.76794487087750496</c:v>
                </c:pt>
                <c:pt idx="45">
                  <c:v>0.78539816339744828</c:v>
                </c:pt>
                <c:pt idx="46" formatCode="General">
                  <c:v>0.80285145591739149</c:v>
                </c:pt>
                <c:pt idx="47" formatCode="General">
                  <c:v>0.82030474843733492</c:v>
                </c:pt>
                <c:pt idx="48" formatCode="General">
                  <c:v>0.83775804095727813</c:v>
                </c:pt>
                <c:pt idx="49" formatCode="General">
                  <c:v>0.85521133347722134</c:v>
                </c:pt>
                <c:pt idx="50" formatCode="General">
                  <c:v>0.87266462599716477</c:v>
                </c:pt>
                <c:pt idx="51" formatCode="General">
                  <c:v>0.89011791851710798</c:v>
                </c:pt>
                <c:pt idx="52" formatCode="General">
                  <c:v>0.9075712110370513</c:v>
                </c:pt>
                <c:pt idx="53" formatCode="General">
                  <c:v>0.92502450355699462</c:v>
                </c:pt>
                <c:pt idx="54" formatCode="General">
                  <c:v>0.94247779607693793</c:v>
                </c:pt>
                <c:pt idx="55" formatCode="General">
                  <c:v>0.95993108859688125</c:v>
                </c:pt>
                <c:pt idx="56" formatCode="General">
                  <c:v>0.97738438111682457</c:v>
                </c:pt>
                <c:pt idx="57" formatCode="General">
                  <c:v>0.99483767363676778</c:v>
                </c:pt>
                <c:pt idx="58" formatCode="General">
                  <c:v>1.0122909661567112</c:v>
                </c:pt>
                <c:pt idx="59" formatCode="General">
                  <c:v>1.0297442586766543</c:v>
                </c:pt>
                <c:pt idx="60" formatCode="General">
                  <c:v>1.0471975511965976</c:v>
                </c:pt>
                <c:pt idx="61" formatCode="General">
                  <c:v>1.064650843716541</c:v>
                </c:pt>
                <c:pt idx="62" formatCode="General">
                  <c:v>1.0821041362364843</c:v>
                </c:pt>
                <c:pt idx="63" formatCode="General">
                  <c:v>1.0995574287564276</c:v>
                </c:pt>
                <c:pt idx="64" formatCode="General">
                  <c:v>1.1170107212763709</c:v>
                </c:pt>
                <c:pt idx="65" formatCode="General">
                  <c:v>1.1344640137963142</c:v>
                </c:pt>
                <c:pt idx="66" formatCode="General">
                  <c:v>1.1519173063162573</c:v>
                </c:pt>
                <c:pt idx="67" formatCode="General">
                  <c:v>1.1693705988362009</c:v>
                </c:pt>
                <c:pt idx="68" formatCode="General">
                  <c:v>1.186823891356144</c:v>
                </c:pt>
                <c:pt idx="69" formatCode="General">
                  <c:v>1.2042771838760875</c:v>
                </c:pt>
                <c:pt idx="70" formatCode="General">
                  <c:v>1.2217304763960306</c:v>
                </c:pt>
                <c:pt idx="71" formatCode="General">
                  <c:v>1.2391837689159739</c:v>
                </c:pt>
                <c:pt idx="72" formatCode="General">
                  <c:v>1.2566370614359172</c:v>
                </c:pt>
                <c:pt idx="73" formatCode="General">
                  <c:v>1.2740903539558606</c:v>
                </c:pt>
                <c:pt idx="74" formatCode="General">
                  <c:v>1.2915436464758039</c:v>
                </c:pt>
                <c:pt idx="75" formatCode="General">
                  <c:v>1.3089969389957472</c:v>
                </c:pt>
                <c:pt idx="76" formatCode="General">
                  <c:v>1.3264502315156905</c:v>
                </c:pt>
                <c:pt idx="77" formatCode="General">
                  <c:v>1.3439035240356336</c:v>
                </c:pt>
                <c:pt idx="78" formatCode="General">
                  <c:v>1.3613568165555772</c:v>
                </c:pt>
                <c:pt idx="79" formatCode="General">
                  <c:v>1.3788101090755203</c:v>
                </c:pt>
                <c:pt idx="80" formatCode="General">
                  <c:v>1.3962634015954636</c:v>
                </c:pt>
                <c:pt idx="81" formatCode="General">
                  <c:v>1.4137166941154069</c:v>
                </c:pt>
                <c:pt idx="82" formatCode="General">
                  <c:v>1.4311699866353502</c:v>
                </c:pt>
                <c:pt idx="83" formatCode="General">
                  <c:v>1.4486232791552935</c:v>
                </c:pt>
                <c:pt idx="84" formatCode="General">
                  <c:v>1.4660765716752369</c:v>
                </c:pt>
                <c:pt idx="85" formatCode="General">
                  <c:v>1.48352986419518</c:v>
                </c:pt>
                <c:pt idx="86" formatCode="General">
                  <c:v>1.5009831567151235</c:v>
                </c:pt>
                <c:pt idx="87" formatCode="General">
                  <c:v>1.5184364492350666</c:v>
                </c:pt>
                <c:pt idx="88" formatCode="General">
                  <c:v>1.5358897417550099</c:v>
                </c:pt>
                <c:pt idx="89" formatCode="General">
                  <c:v>1.5533430342749532</c:v>
                </c:pt>
                <c:pt idx="90" formatCode="General">
                  <c:v>1.5707963267948966</c:v>
                </c:pt>
              </c:numCache>
            </c:numRef>
          </c:xVal>
          <c:yVal>
            <c:numRef>
              <c:f>TAYLOR!$I$3:$I$93</c:f>
              <c:numCache>
                <c:formatCode>General</c:formatCode>
                <c:ptCount val="91"/>
                <c:pt idx="0">
                  <c:v>1</c:v>
                </c:pt>
                <c:pt idx="1">
                  <c:v>0.99984769515639116</c:v>
                </c:pt>
                <c:pt idx="2">
                  <c:v>0.99939082701909565</c:v>
                </c:pt>
                <c:pt idx="3">
                  <c:v>0.99862953475457239</c:v>
                </c:pt>
                <c:pt idx="4">
                  <c:v>0.99756405025981021</c:v>
                </c:pt>
                <c:pt idx="5">
                  <c:v>0.99619469809166206</c:v>
                </c:pt>
                <c:pt idx="6">
                  <c:v>0.99452189536791469</c:v>
                </c:pt>
                <c:pt idx="7">
                  <c:v>0.99254615164009119</c:v>
                </c:pt>
                <c:pt idx="8">
                  <c:v>0.99026806873798834</c:v>
                </c:pt>
                <c:pt idx="9">
                  <c:v>0.98768834058594768</c:v>
                </c:pt>
                <c:pt idx="10">
                  <c:v>0.98480775299086043</c:v>
                </c:pt>
                <c:pt idx="11">
                  <c:v>0.98162718340190647</c:v>
                </c:pt>
                <c:pt idx="12">
                  <c:v>0.97814760064202799</c:v>
                </c:pt>
                <c:pt idx="13">
                  <c:v>0.97437006461113596</c:v>
                </c:pt>
                <c:pt idx="14">
                  <c:v>0.9702957259610514</c:v>
                </c:pt>
                <c:pt idx="15">
                  <c:v>0.96592582574218111</c:v>
                </c:pt>
                <c:pt idx="16">
                  <c:v>0.96126169502192527</c:v>
                </c:pt>
                <c:pt idx="17">
                  <c:v>0.95630475447482266</c:v>
                </c:pt>
                <c:pt idx="18">
                  <c:v>0.95105651394442603</c:v>
                </c:pt>
                <c:pt idx="19">
                  <c:v>0.94551857197691436</c:v>
                </c:pt>
                <c:pt idx="20">
                  <c:v>0.93969261532643755</c:v>
                </c:pt>
                <c:pt idx="21">
                  <c:v>0.93358041843219552</c:v>
                </c:pt>
                <c:pt idx="22">
                  <c:v>0.92718384286725164</c:v>
                </c:pt>
                <c:pt idx="23">
                  <c:v>0.92050483675908001</c:v>
                </c:pt>
                <c:pt idx="24">
                  <c:v>0.91354543418184664</c:v>
                </c:pt>
                <c:pt idx="25">
                  <c:v>0.906307754520424</c:v>
                </c:pt>
                <c:pt idx="26">
                  <c:v>0.89879400180614122</c:v>
                </c:pt>
                <c:pt idx="27">
                  <c:v>0.89100646402426675</c:v>
                </c:pt>
                <c:pt idx="28">
                  <c:v>0.882947512393226</c:v>
                </c:pt>
                <c:pt idx="29">
                  <c:v>0.87461960061555188</c:v>
                </c:pt>
                <c:pt idx="30">
                  <c:v>0.86602526410057112</c:v>
                </c:pt>
                <c:pt idx="31">
                  <c:v>0.8571671191588226</c:v>
                </c:pt>
                <c:pt idx="32">
                  <c:v>0.84804786216821082</c:v>
                </c:pt>
                <c:pt idx="33">
                  <c:v>0.83867026871189398</c:v>
                </c:pt>
                <c:pt idx="34">
                  <c:v>0.82903719268790421</c:v>
                </c:pt>
                <c:pt idx="35">
                  <c:v>0.8191515653905036</c:v>
                </c:pt>
                <c:pt idx="36">
                  <c:v>0.8090163945632729</c:v>
                </c:pt>
                <c:pt idx="37">
                  <c:v>0.79863476342393602</c:v>
                </c:pt>
                <c:pt idx="38">
                  <c:v>0.78800982966091571</c:v>
                </c:pt>
                <c:pt idx="39">
                  <c:v>0.77714482440162613</c:v>
                </c:pt>
                <c:pt idx="40">
                  <c:v>0.76604305115249838</c:v>
                </c:pt>
                <c:pt idx="41">
                  <c:v>0.75470788471073857</c:v>
                </c:pt>
                <c:pt idx="42">
                  <c:v>0.74314277004782259</c:v>
                </c:pt>
                <c:pt idx="43">
                  <c:v>0.73135122116472284</c:v>
                </c:pt>
                <c:pt idx="44">
                  <c:v>0.71933681991886922</c:v>
                </c:pt>
                <c:pt idx="45">
                  <c:v>0.70710321482284566</c:v>
                </c:pt>
                <c:pt idx="46">
                  <c:v>0.69465411981481873</c:v>
                </c:pt>
                <c:pt idx="47">
                  <c:v>0.6819933130007011</c:v>
                </c:pt>
                <c:pt idx="48">
                  <c:v>0.66912463536804934</c:v>
                </c:pt>
                <c:pt idx="49">
                  <c:v>0.65605198947169518</c:v>
                </c:pt>
                <c:pt idx="50">
                  <c:v>0.64277933809111054</c:v>
                </c:pt>
                <c:pt idx="51">
                  <c:v>0.6293107028595083</c:v>
                </c:pt>
                <c:pt idx="52">
                  <c:v>0.61565016286467389</c:v>
                </c:pt>
                <c:pt idx="53">
                  <c:v>0.60180185322153457</c:v>
                </c:pt>
                <c:pt idx="54">
                  <c:v>0.58776996361645972</c:v>
                </c:pt>
                <c:pt idx="55">
                  <c:v>0.57355873682329706</c:v>
                </c:pt>
                <c:pt idx="56">
                  <c:v>0.55917246719114166</c:v>
                </c:pt>
                <c:pt idx="57">
                  <c:v>0.54461549910384</c:v>
                </c:pt>
                <c:pt idx="58">
                  <c:v>0.52989222541122671</c:v>
                </c:pt>
                <c:pt idx="59">
                  <c:v>0.51500708583209753</c:v>
                </c:pt>
                <c:pt idx="60">
                  <c:v>0.4999645653289127</c:v>
                </c:pt>
                <c:pt idx="61">
                  <c:v>0.48476919245423883</c:v>
                </c:pt>
                <c:pt idx="62">
                  <c:v>0.46942553766892098</c:v>
                </c:pt>
                <c:pt idx="63">
                  <c:v>0.45393821163199077</c:v>
                </c:pt>
                <c:pt idx="64">
                  <c:v>0.43831186346230794</c:v>
                </c:pt>
                <c:pt idx="65">
                  <c:v>0.42255117897193595</c:v>
                </c:pt>
                <c:pt idx="66">
                  <c:v>0.40666087887125163</c:v>
                </c:pt>
                <c:pt idx="67">
                  <c:v>0.39064571694578809</c:v>
                </c:pt>
                <c:pt idx="68">
                  <c:v>0.37451047820481442</c:v>
                </c:pt>
                <c:pt idx="69">
                  <c:v>0.35825997700164425</c:v>
                </c:pt>
                <c:pt idx="70">
                  <c:v>0.34189905512568458</c:v>
                </c:pt>
                <c:pt idx="71">
                  <c:v>0.32543257986621288</c:v>
                </c:pt>
                <c:pt idx="72">
                  <c:v>0.30886544204789224</c:v>
                </c:pt>
                <c:pt idx="73">
                  <c:v>0.2922025540380187</c:v>
                </c:pt>
                <c:pt idx="74">
                  <c:v>0.27544884772550277</c:v>
                </c:pt>
                <c:pt idx="75">
                  <c:v>0.25860927247158533</c:v>
                </c:pt>
                <c:pt idx="76">
                  <c:v>0.24168879303228732</c:v>
                </c:pt>
                <c:pt idx="77">
                  <c:v>0.22469238745259332</c:v>
                </c:pt>
                <c:pt idx="78">
                  <c:v>0.20762504493236883</c:v>
                </c:pt>
                <c:pt idx="79">
                  <c:v>0.19049176366401407</c:v>
                </c:pt>
                <c:pt idx="80">
                  <c:v>0.17329754864184641</c:v>
                </c:pt>
                <c:pt idx="81">
                  <c:v>0.15604740944322307</c:v>
                </c:pt>
                <c:pt idx="82">
                  <c:v>0.13874635798139334</c:v>
                </c:pt>
                <c:pt idx="83">
                  <c:v>0.12139940623008699</c:v>
                </c:pt>
                <c:pt idx="84">
                  <c:v>0.10401156391983586</c:v>
                </c:pt>
                <c:pt idx="85">
                  <c:v>8.6587836206029417E-2</c:v>
                </c:pt>
                <c:pt idx="86">
                  <c:v>6.913322130870457E-2</c:v>
                </c:pt>
                <c:pt idx="87">
                  <c:v>5.1652708124070829E-2</c:v>
                </c:pt>
                <c:pt idx="88">
                  <c:v>3.4151273807765566E-2</c:v>
                </c:pt>
                <c:pt idx="89">
                  <c:v>1.6633881329848402E-2</c:v>
                </c:pt>
                <c:pt idx="90">
                  <c:v>-8.9452299847473174E-4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1710664"/>
        <c:axId val="321711056"/>
      </c:scatterChart>
      <c:valAx>
        <c:axId val="32171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1711056"/>
        <c:crosses val="autoZero"/>
        <c:crossBetween val="midCat"/>
      </c:valAx>
      <c:valAx>
        <c:axId val="32171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1710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619125</xdr:colOff>
      <xdr:row>3</xdr:row>
      <xdr:rowOff>155351</xdr:rowOff>
    </xdr:from>
    <xdr:to>
      <xdr:col>15</xdr:col>
      <xdr:colOff>9525</xdr:colOff>
      <xdr:row>16</xdr:row>
      <xdr:rowOff>60029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7475" y="831626"/>
          <a:ext cx="2190750" cy="2085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179</xdr:row>
      <xdr:rowOff>0</xdr:rowOff>
    </xdr:from>
    <xdr:to>
      <xdr:col>8</xdr:col>
      <xdr:colOff>276225</xdr:colOff>
      <xdr:row>185</xdr:row>
      <xdr:rowOff>0</xdr:rowOff>
    </xdr:to>
    <xdr:sp macro="" textlink="">
      <xdr:nvSpPr>
        <xdr:cNvPr id="1034634" name="Arc 115"/>
        <xdr:cNvSpPr>
          <a:spLocks/>
        </xdr:cNvSpPr>
      </xdr:nvSpPr>
      <xdr:spPr bwMode="auto">
        <a:xfrm flipV="1">
          <a:off x="4638675" y="35137725"/>
          <a:ext cx="2095500" cy="1895475"/>
        </a:xfrm>
        <a:custGeom>
          <a:avLst/>
          <a:gdLst>
            <a:gd name="T0" fmla="*/ 0 w 10931"/>
            <a:gd name="T1" fmla="*/ 0 h 21600"/>
            <a:gd name="T2" fmla="*/ 2147483646 w 10931"/>
            <a:gd name="T3" fmla="*/ 2147483646 h 21600"/>
            <a:gd name="T4" fmla="*/ 2147483646 w 10931"/>
            <a:gd name="T5" fmla="*/ 2147483646 h 21600"/>
            <a:gd name="T6" fmla="*/ 0 60000 65536"/>
            <a:gd name="T7" fmla="*/ 0 60000 65536"/>
            <a:gd name="T8" fmla="*/ 0 60000 65536"/>
            <a:gd name="T9" fmla="*/ 0 w 10931"/>
            <a:gd name="T10" fmla="*/ 0 h 21600"/>
            <a:gd name="T11" fmla="*/ 10931 w 10931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931" h="21600" fill="none" extrusionOk="0">
              <a:moveTo>
                <a:pt x="0" y="0"/>
              </a:moveTo>
              <a:cubicBezTo>
                <a:pt x="0" y="0"/>
                <a:pt x="0" y="-1"/>
                <a:pt x="1" y="0"/>
              </a:cubicBezTo>
              <a:cubicBezTo>
                <a:pt x="3843" y="0"/>
                <a:pt x="7616" y="1025"/>
                <a:pt x="10931" y="2969"/>
              </a:cubicBezTo>
            </a:path>
            <a:path w="10931" h="21600" stroke="0" extrusionOk="0">
              <a:moveTo>
                <a:pt x="0" y="0"/>
              </a:moveTo>
              <a:cubicBezTo>
                <a:pt x="0" y="0"/>
                <a:pt x="0" y="-1"/>
                <a:pt x="1" y="0"/>
              </a:cubicBezTo>
              <a:cubicBezTo>
                <a:pt x="3843" y="0"/>
                <a:pt x="7616" y="1025"/>
                <a:pt x="10931" y="2969"/>
              </a:cubicBezTo>
              <a:lnTo>
                <a:pt x="1" y="21600"/>
              </a:lnTo>
              <a:lnTo>
                <a:pt x="0" y="0"/>
              </a:lnTo>
              <a:close/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266700</xdr:colOff>
      <xdr:row>182</xdr:row>
      <xdr:rowOff>9525</xdr:rowOff>
    </xdr:from>
    <xdr:to>
      <xdr:col>10</xdr:col>
      <xdr:colOff>523875</xdr:colOff>
      <xdr:row>191</xdr:row>
      <xdr:rowOff>0</xdr:rowOff>
    </xdr:to>
    <xdr:sp macro="" textlink="">
      <xdr:nvSpPr>
        <xdr:cNvPr id="1034635" name="Arc 116"/>
        <xdr:cNvSpPr>
          <a:spLocks/>
        </xdr:cNvSpPr>
      </xdr:nvSpPr>
      <xdr:spPr bwMode="auto">
        <a:xfrm flipH="1">
          <a:off x="6724650" y="36556950"/>
          <a:ext cx="2028825" cy="1724025"/>
        </a:xfrm>
        <a:custGeom>
          <a:avLst/>
          <a:gdLst>
            <a:gd name="T0" fmla="*/ 0 w 10353"/>
            <a:gd name="T1" fmla="*/ 0 h 21600"/>
            <a:gd name="T2" fmla="*/ 2147483646 w 10353"/>
            <a:gd name="T3" fmla="*/ 2147483646 h 21600"/>
            <a:gd name="T4" fmla="*/ 0 w 10353"/>
            <a:gd name="T5" fmla="*/ 2147483646 h 21600"/>
            <a:gd name="T6" fmla="*/ 0 60000 65536"/>
            <a:gd name="T7" fmla="*/ 0 60000 65536"/>
            <a:gd name="T8" fmla="*/ 0 60000 65536"/>
            <a:gd name="T9" fmla="*/ 0 w 10353"/>
            <a:gd name="T10" fmla="*/ 0 h 21600"/>
            <a:gd name="T11" fmla="*/ 10353 w 10353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353" h="21600" fill="none" extrusionOk="0">
              <a:moveTo>
                <a:pt x="-1" y="0"/>
              </a:moveTo>
              <a:cubicBezTo>
                <a:pt x="3617" y="0"/>
                <a:pt x="7177" y="908"/>
                <a:pt x="10353" y="2642"/>
              </a:cubicBezTo>
            </a:path>
            <a:path w="10353" h="21600" stroke="0" extrusionOk="0">
              <a:moveTo>
                <a:pt x="-1" y="0"/>
              </a:moveTo>
              <a:cubicBezTo>
                <a:pt x="3617" y="0"/>
                <a:pt x="7177" y="908"/>
                <a:pt x="10353" y="2642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182</xdr:row>
      <xdr:rowOff>0</xdr:rowOff>
    </xdr:from>
    <xdr:to>
      <xdr:col>6</xdr:col>
      <xdr:colOff>0</xdr:colOff>
      <xdr:row>185</xdr:row>
      <xdr:rowOff>0</xdr:rowOff>
    </xdr:to>
    <xdr:sp macro="" textlink="">
      <xdr:nvSpPr>
        <xdr:cNvPr id="1034636" name="Line 117"/>
        <xdr:cNvSpPr>
          <a:spLocks noChangeShapeType="1"/>
        </xdr:cNvSpPr>
      </xdr:nvSpPr>
      <xdr:spPr bwMode="auto">
        <a:xfrm flipV="1">
          <a:off x="4638675" y="3654742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182</xdr:row>
      <xdr:rowOff>0</xdr:rowOff>
    </xdr:from>
    <xdr:to>
      <xdr:col>11</xdr:col>
      <xdr:colOff>0</xdr:colOff>
      <xdr:row>182</xdr:row>
      <xdr:rowOff>0</xdr:rowOff>
    </xdr:to>
    <xdr:sp macro="" textlink="">
      <xdr:nvSpPr>
        <xdr:cNvPr id="1034637" name="Line 118"/>
        <xdr:cNvSpPr>
          <a:spLocks noChangeShapeType="1"/>
        </xdr:cNvSpPr>
      </xdr:nvSpPr>
      <xdr:spPr bwMode="auto">
        <a:xfrm>
          <a:off x="4638675" y="36547425"/>
          <a:ext cx="447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7</xdr:col>
      <xdr:colOff>638175</xdr:colOff>
      <xdr:row>180</xdr:row>
      <xdr:rowOff>95250</xdr:rowOff>
    </xdr:from>
    <xdr:ext cx="89768" cy="180036"/>
    <xdr:sp macro="" textlink="">
      <xdr:nvSpPr>
        <xdr:cNvPr id="3191" name="Text Box 119"/>
        <xdr:cNvSpPr txBox="1">
          <a:spLocks noChangeArrowheads="1"/>
        </xdr:cNvSpPr>
      </xdr:nvSpPr>
      <xdr:spPr bwMode="auto">
        <a:xfrm>
          <a:off x="6162675" y="36299775"/>
          <a:ext cx="897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L</a:t>
          </a:r>
        </a:p>
      </xdr:txBody>
    </xdr:sp>
    <xdr:clientData/>
  </xdr:oneCellAnchor>
  <xdr:oneCellAnchor>
    <xdr:from>
      <xdr:col>5</xdr:col>
      <xdr:colOff>447675</xdr:colOff>
      <xdr:row>183</xdr:row>
      <xdr:rowOff>19050</xdr:rowOff>
    </xdr:from>
    <xdr:ext cx="111056" cy="170560"/>
    <xdr:sp macro="" textlink="">
      <xdr:nvSpPr>
        <xdr:cNvPr id="3193" name="Text Box 121"/>
        <xdr:cNvSpPr txBox="1">
          <a:spLocks noChangeArrowheads="1"/>
        </xdr:cNvSpPr>
      </xdr:nvSpPr>
      <xdr:spPr bwMode="auto">
        <a:xfrm>
          <a:off x="4200525" y="36728400"/>
          <a:ext cx="111056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oneCellAnchor>
  <xdr:oneCellAnchor>
    <xdr:from>
      <xdr:col>6</xdr:col>
      <xdr:colOff>514350</xdr:colOff>
      <xdr:row>183</xdr:row>
      <xdr:rowOff>38100</xdr:rowOff>
    </xdr:from>
    <xdr:ext cx="111056" cy="170560"/>
    <xdr:sp macro="" textlink="">
      <xdr:nvSpPr>
        <xdr:cNvPr id="3194" name="Text Box 122"/>
        <xdr:cNvSpPr txBox="1">
          <a:spLocks noChangeArrowheads="1"/>
        </xdr:cNvSpPr>
      </xdr:nvSpPr>
      <xdr:spPr bwMode="auto">
        <a:xfrm>
          <a:off x="5153025" y="36747450"/>
          <a:ext cx="111056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R</a:t>
          </a:r>
        </a:p>
      </xdr:txBody>
    </xdr:sp>
    <xdr:clientData/>
  </xdr:oneCellAnchor>
  <xdr:twoCellAnchor>
    <xdr:from>
      <xdr:col>6</xdr:col>
      <xdr:colOff>0</xdr:colOff>
      <xdr:row>191</xdr:row>
      <xdr:rowOff>0</xdr:rowOff>
    </xdr:from>
    <xdr:to>
      <xdr:col>8</xdr:col>
      <xdr:colOff>0</xdr:colOff>
      <xdr:row>191</xdr:row>
      <xdr:rowOff>0</xdr:rowOff>
    </xdr:to>
    <xdr:sp macro="" textlink="">
      <xdr:nvSpPr>
        <xdr:cNvPr id="1034648" name="Line 131"/>
        <xdr:cNvSpPr>
          <a:spLocks noChangeShapeType="1"/>
        </xdr:cNvSpPr>
      </xdr:nvSpPr>
      <xdr:spPr bwMode="auto">
        <a:xfrm>
          <a:off x="4638675" y="38214300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189</xdr:row>
      <xdr:rowOff>0</xdr:rowOff>
    </xdr:from>
    <xdr:to>
      <xdr:col>8</xdr:col>
      <xdr:colOff>0</xdr:colOff>
      <xdr:row>191</xdr:row>
      <xdr:rowOff>0</xdr:rowOff>
    </xdr:to>
    <xdr:sp macro="" textlink="">
      <xdr:nvSpPr>
        <xdr:cNvPr id="1034649" name="Line 132"/>
        <xdr:cNvSpPr>
          <a:spLocks noChangeShapeType="1"/>
        </xdr:cNvSpPr>
      </xdr:nvSpPr>
      <xdr:spPr bwMode="auto">
        <a:xfrm flipV="1">
          <a:off x="6457950" y="3788092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189</xdr:row>
      <xdr:rowOff>0</xdr:rowOff>
    </xdr:from>
    <xdr:to>
      <xdr:col>8</xdr:col>
      <xdr:colOff>0</xdr:colOff>
      <xdr:row>191</xdr:row>
      <xdr:rowOff>0</xdr:rowOff>
    </xdr:to>
    <xdr:sp macro="" textlink="">
      <xdr:nvSpPr>
        <xdr:cNvPr id="1034650" name="Line 133"/>
        <xdr:cNvSpPr>
          <a:spLocks noChangeShapeType="1"/>
        </xdr:cNvSpPr>
      </xdr:nvSpPr>
      <xdr:spPr bwMode="auto">
        <a:xfrm flipV="1">
          <a:off x="4638675" y="37880925"/>
          <a:ext cx="1819275" cy="333375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76200</xdr:colOff>
      <xdr:row>189</xdr:row>
      <xdr:rowOff>66675</xdr:rowOff>
    </xdr:from>
    <xdr:ext cx="111056" cy="170560"/>
    <xdr:sp macro="" textlink="">
      <xdr:nvSpPr>
        <xdr:cNvPr id="3206" name="Text Box 134"/>
        <xdr:cNvSpPr txBox="1">
          <a:spLocks noChangeArrowheads="1"/>
        </xdr:cNvSpPr>
      </xdr:nvSpPr>
      <xdr:spPr bwMode="auto">
        <a:xfrm>
          <a:off x="6534150" y="37947600"/>
          <a:ext cx="111056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H</a:t>
          </a:r>
        </a:p>
      </xdr:txBody>
    </xdr:sp>
    <xdr:clientData/>
  </xdr:oneCellAnchor>
  <xdr:oneCellAnchor>
    <xdr:from>
      <xdr:col>6</xdr:col>
      <xdr:colOff>533400</xdr:colOff>
      <xdr:row>188</xdr:row>
      <xdr:rowOff>114300</xdr:rowOff>
    </xdr:from>
    <xdr:ext cx="168123" cy="170560"/>
    <xdr:sp macro="" textlink="">
      <xdr:nvSpPr>
        <xdr:cNvPr id="3208" name="Text Box 136"/>
        <xdr:cNvSpPr txBox="1">
          <a:spLocks noChangeArrowheads="1"/>
        </xdr:cNvSpPr>
      </xdr:nvSpPr>
      <xdr:spPr bwMode="auto">
        <a:xfrm>
          <a:off x="5172075" y="37823775"/>
          <a:ext cx="168123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Sv</a:t>
          </a:r>
        </a:p>
      </xdr:txBody>
    </xdr:sp>
    <xdr:clientData/>
  </xdr:oneCellAnchor>
  <xdr:oneCellAnchor>
    <xdr:from>
      <xdr:col>7</xdr:col>
      <xdr:colOff>66675</xdr:colOff>
      <xdr:row>191</xdr:row>
      <xdr:rowOff>0</xdr:rowOff>
    </xdr:from>
    <xdr:ext cx="89768" cy="180036"/>
    <xdr:sp macro="" textlink="">
      <xdr:nvSpPr>
        <xdr:cNvPr id="3209" name="Text Box 137"/>
        <xdr:cNvSpPr txBox="1">
          <a:spLocks noChangeArrowheads="1"/>
        </xdr:cNvSpPr>
      </xdr:nvSpPr>
      <xdr:spPr bwMode="auto">
        <a:xfrm>
          <a:off x="5591175" y="38252400"/>
          <a:ext cx="897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L</a:t>
          </a:r>
        </a:p>
      </xdr:txBody>
    </xdr:sp>
    <xdr:clientData/>
  </xdr:oneCellAnchor>
  <xdr:oneCellAnchor>
    <xdr:from>
      <xdr:col>6</xdr:col>
      <xdr:colOff>771525</xdr:colOff>
      <xdr:row>190</xdr:row>
      <xdr:rowOff>9525</xdr:rowOff>
    </xdr:from>
    <xdr:ext cx="196721" cy="170560"/>
    <xdr:sp macro="" textlink="">
      <xdr:nvSpPr>
        <xdr:cNvPr id="3210" name="Text Box 138"/>
        <xdr:cNvSpPr txBox="1">
          <a:spLocks noChangeArrowheads="1"/>
        </xdr:cNvSpPr>
      </xdr:nvSpPr>
      <xdr:spPr bwMode="auto">
        <a:xfrm>
          <a:off x="5410200" y="38052375"/>
          <a:ext cx="196721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a,p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6</xdr:row>
      <xdr:rowOff>180976</xdr:rowOff>
    </xdr:from>
    <xdr:to>
      <xdr:col>25</xdr:col>
      <xdr:colOff>371475</xdr:colOff>
      <xdr:row>15</xdr:row>
      <xdr:rowOff>161925</xdr:rowOff>
    </xdr:to>
    <xdr:grpSp>
      <xdr:nvGrpSpPr>
        <xdr:cNvPr id="998719" name="Group 16"/>
        <xdr:cNvGrpSpPr>
          <a:grpSpLocks/>
        </xdr:cNvGrpSpPr>
      </xdr:nvGrpSpPr>
      <xdr:grpSpPr bwMode="auto">
        <a:xfrm>
          <a:off x="14058900" y="1209676"/>
          <a:ext cx="3971925" cy="2124074"/>
          <a:chOff x="69" y="690"/>
          <a:chExt cx="454" cy="241"/>
        </a:xfrm>
      </xdr:grpSpPr>
      <xdr:sp macro="" textlink="">
        <xdr:nvSpPr>
          <xdr:cNvPr id="998720" name="Line 2"/>
          <xdr:cNvSpPr>
            <a:spLocks noChangeShapeType="1"/>
          </xdr:cNvSpPr>
        </xdr:nvSpPr>
        <xdr:spPr bwMode="auto">
          <a:xfrm flipV="1">
            <a:off x="189" y="739"/>
            <a:ext cx="196" cy="128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8721" name="Arc 3"/>
          <xdr:cNvSpPr>
            <a:spLocks/>
          </xdr:cNvSpPr>
        </xdr:nvSpPr>
        <xdr:spPr bwMode="auto">
          <a:xfrm>
            <a:off x="385" y="717"/>
            <a:ext cx="63" cy="121"/>
          </a:xfrm>
          <a:custGeom>
            <a:avLst/>
            <a:gdLst>
              <a:gd name="T0" fmla="*/ 0 w 12422"/>
              <a:gd name="T1" fmla="*/ 0 h 21521"/>
              <a:gd name="T2" fmla="*/ 0 w 12422"/>
              <a:gd name="T3" fmla="*/ 0 h 21521"/>
              <a:gd name="T4" fmla="*/ 0 w 12422"/>
              <a:gd name="T5" fmla="*/ 0 h 21521"/>
              <a:gd name="T6" fmla="*/ 0 60000 65536"/>
              <a:gd name="T7" fmla="*/ 0 60000 65536"/>
              <a:gd name="T8" fmla="*/ 0 60000 65536"/>
              <a:gd name="T9" fmla="*/ 0 w 12422"/>
              <a:gd name="T10" fmla="*/ 0 h 21521"/>
              <a:gd name="T11" fmla="*/ 12422 w 12422"/>
              <a:gd name="T12" fmla="*/ 21521 h 2152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422" h="21521" fill="none" extrusionOk="0">
                <a:moveTo>
                  <a:pt x="0" y="3850"/>
                </a:moveTo>
                <a:cubicBezTo>
                  <a:pt x="3121" y="1655"/>
                  <a:pt x="6769" y="327"/>
                  <a:pt x="10571" y="0"/>
                </a:cubicBezTo>
              </a:path>
              <a:path w="12422" h="21521" stroke="0" extrusionOk="0">
                <a:moveTo>
                  <a:pt x="0" y="3850"/>
                </a:moveTo>
                <a:cubicBezTo>
                  <a:pt x="3121" y="1655"/>
                  <a:pt x="6769" y="327"/>
                  <a:pt x="10571" y="0"/>
                </a:cubicBezTo>
                <a:lnTo>
                  <a:pt x="12422" y="21521"/>
                </a:lnTo>
                <a:lnTo>
                  <a:pt x="0" y="3850"/>
                </a:lnTo>
                <a:close/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98722" name="Arc 4"/>
          <xdr:cNvSpPr>
            <a:spLocks/>
          </xdr:cNvSpPr>
        </xdr:nvSpPr>
        <xdr:spPr bwMode="auto">
          <a:xfrm>
            <a:off x="126" y="770"/>
            <a:ext cx="65" cy="118"/>
          </a:xfrm>
          <a:custGeom>
            <a:avLst/>
            <a:gdLst>
              <a:gd name="T0" fmla="*/ 0 w 12575"/>
              <a:gd name="T1" fmla="*/ 0 h 21437"/>
              <a:gd name="T2" fmla="*/ 0 w 12575"/>
              <a:gd name="T3" fmla="*/ 0 h 21437"/>
              <a:gd name="T4" fmla="*/ 0 w 12575"/>
              <a:gd name="T5" fmla="*/ 0 h 21437"/>
              <a:gd name="T6" fmla="*/ 0 60000 65536"/>
              <a:gd name="T7" fmla="*/ 0 60000 65536"/>
              <a:gd name="T8" fmla="*/ 0 60000 65536"/>
              <a:gd name="T9" fmla="*/ 0 w 12575"/>
              <a:gd name="T10" fmla="*/ 0 h 21437"/>
              <a:gd name="T11" fmla="*/ 12575 w 12575"/>
              <a:gd name="T12" fmla="*/ 21437 h 21437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12575" h="21437" fill="none" extrusionOk="0">
                <a:moveTo>
                  <a:pt x="12574" y="17562"/>
                </a:moveTo>
                <a:cubicBezTo>
                  <a:pt x="9641" y="19662"/>
                  <a:pt x="6229" y="20994"/>
                  <a:pt x="2648" y="21436"/>
                </a:cubicBezTo>
              </a:path>
              <a:path w="12575" h="21437" stroke="0" extrusionOk="0">
                <a:moveTo>
                  <a:pt x="12574" y="17562"/>
                </a:moveTo>
                <a:cubicBezTo>
                  <a:pt x="9641" y="19662"/>
                  <a:pt x="6229" y="20994"/>
                  <a:pt x="2648" y="21436"/>
                </a:cubicBezTo>
                <a:lnTo>
                  <a:pt x="0" y="0"/>
                </a:lnTo>
                <a:lnTo>
                  <a:pt x="12574" y="17562"/>
                </a:lnTo>
                <a:close/>
              </a:path>
            </a:pathLst>
          </a:custGeom>
          <a:noFill/>
          <a:ln w="190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1" name="Text Box 5"/>
          <xdr:cNvSpPr txBox="1">
            <a:spLocks noChangeArrowheads="1"/>
          </xdr:cNvSpPr>
        </xdr:nvSpPr>
        <xdr:spPr bwMode="auto">
          <a:xfrm>
            <a:off x="118" y="816"/>
            <a:ext cx="63" cy="3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strike="noStrike">
                <a:solidFill>
                  <a:srgbClr val="000000"/>
                </a:solidFill>
                <a:latin typeface="Arial"/>
                <a:cs typeface="Arial"/>
              </a:rPr>
              <a:t>R conc</a:t>
            </a:r>
          </a:p>
        </xdr:txBody>
      </xdr:sp>
      <xdr:sp macro="" textlink="">
        <xdr:nvSpPr>
          <xdr:cNvPr id="4102" name="Text Box 6"/>
          <xdr:cNvSpPr txBox="1">
            <a:spLocks noChangeArrowheads="1"/>
          </xdr:cNvSpPr>
        </xdr:nvSpPr>
        <xdr:spPr bwMode="auto">
          <a:xfrm>
            <a:off x="395" y="747"/>
            <a:ext cx="74" cy="2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strike="noStrike">
                <a:solidFill>
                  <a:srgbClr val="000000"/>
                </a:solidFill>
                <a:latin typeface="Arial"/>
                <a:cs typeface="Arial"/>
              </a:rPr>
              <a:t>R conv</a:t>
            </a:r>
          </a:p>
        </xdr:txBody>
      </xdr:sp>
      <xdr:sp macro="" textlink="">
        <xdr:nvSpPr>
          <xdr:cNvPr id="4103" name="Text Box 7"/>
          <xdr:cNvSpPr txBox="1">
            <a:spLocks noChangeArrowheads="1"/>
          </xdr:cNvSpPr>
        </xdr:nvSpPr>
        <xdr:spPr bwMode="auto">
          <a:xfrm>
            <a:off x="223" y="755"/>
            <a:ext cx="52" cy="3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strike="noStrike">
                <a:solidFill>
                  <a:srgbClr val="000000"/>
                </a:solidFill>
                <a:latin typeface="Arial"/>
                <a:cs typeface="Arial"/>
              </a:rPr>
              <a:t>p %</a:t>
            </a:r>
          </a:p>
        </xdr:txBody>
      </xdr:sp>
      <xdr:sp macro="" textlink="">
        <xdr:nvSpPr>
          <xdr:cNvPr id="998726" name="Line 8"/>
          <xdr:cNvSpPr>
            <a:spLocks noChangeShapeType="1"/>
          </xdr:cNvSpPr>
        </xdr:nvSpPr>
        <xdr:spPr bwMode="auto">
          <a:xfrm>
            <a:off x="143" y="931"/>
            <a:ext cx="29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5" name="Text Box 9"/>
          <xdr:cNvSpPr txBox="1">
            <a:spLocks noChangeArrowheads="1"/>
          </xdr:cNvSpPr>
        </xdr:nvSpPr>
        <xdr:spPr bwMode="auto">
          <a:xfrm>
            <a:off x="268" y="884"/>
            <a:ext cx="36" cy="28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strike="noStrike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998728" name="Line 10"/>
          <xdr:cNvSpPr>
            <a:spLocks noChangeShapeType="1"/>
          </xdr:cNvSpPr>
        </xdr:nvSpPr>
        <xdr:spPr bwMode="auto">
          <a:xfrm flipV="1">
            <a:off x="486" y="719"/>
            <a:ext cx="0" cy="1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7" name="Text Box 11"/>
          <xdr:cNvSpPr txBox="1">
            <a:spLocks noChangeArrowheads="1"/>
          </xdr:cNvSpPr>
        </xdr:nvSpPr>
        <xdr:spPr bwMode="auto">
          <a:xfrm>
            <a:off x="504" y="787"/>
            <a:ext cx="19" cy="2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strike="noStrike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">
        <xdr:nvSpPr>
          <xdr:cNvPr id="4110" name="Text Box 14"/>
          <xdr:cNvSpPr txBox="1">
            <a:spLocks noChangeArrowheads="1"/>
          </xdr:cNvSpPr>
        </xdr:nvSpPr>
        <xdr:spPr bwMode="auto">
          <a:xfrm>
            <a:off x="69" y="878"/>
            <a:ext cx="79" cy="2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strike="noStrike">
                <a:solidFill>
                  <a:srgbClr val="000000"/>
                </a:solidFill>
                <a:latin typeface="Arial"/>
                <a:cs typeface="Arial"/>
              </a:rPr>
              <a:t>p conc %</a:t>
            </a:r>
          </a:p>
        </xdr:txBody>
      </xdr:sp>
      <xdr:sp macro="" textlink="">
        <xdr:nvSpPr>
          <xdr:cNvPr id="4111" name="Text Box 15"/>
          <xdr:cNvSpPr txBox="1">
            <a:spLocks noChangeArrowheads="1"/>
          </xdr:cNvSpPr>
        </xdr:nvSpPr>
        <xdr:spPr bwMode="auto">
          <a:xfrm>
            <a:off x="444" y="690"/>
            <a:ext cx="61" cy="2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it-IT" sz="1000" b="0" i="0" strike="noStrike">
                <a:solidFill>
                  <a:srgbClr val="000000"/>
                </a:solidFill>
                <a:latin typeface="Arial"/>
                <a:cs typeface="Arial"/>
              </a:rPr>
              <a:t>p conv %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64</xdr:row>
      <xdr:rowOff>0</xdr:rowOff>
    </xdr:from>
    <xdr:to>
      <xdr:col>8</xdr:col>
      <xdr:colOff>0</xdr:colOff>
      <xdr:row>70</xdr:row>
      <xdr:rowOff>0</xdr:rowOff>
    </xdr:to>
    <xdr:graphicFrame macro="">
      <xdr:nvGraphicFramePr>
        <xdr:cNvPr id="126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3453</xdr:colOff>
      <xdr:row>29</xdr:row>
      <xdr:rowOff>14846</xdr:rowOff>
    </xdr:from>
    <xdr:to>
      <xdr:col>7</xdr:col>
      <xdr:colOff>0</xdr:colOff>
      <xdr:row>40</xdr:row>
      <xdr:rowOff>161191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645" y="4425654"/>
          <a:ext cx="2421759" cy="19194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0</xdr:colOff>
      <xdr:row>29</xdr:row>
      <xdr:rowOff>14654</xdr:rowOff>
    </xdr:from>
    <xdr:to>
      <xdr:col>11</xdr:col>
      <xdr:colOff>0</xdr:colOff>
      <xdr:row>40</xdr:row>
      <xdr:rowOff>161191</xdr:rowOff>
    </xdr:to>
    <xdr:pic>
      <xdr:nvPicPr>
        <xdr:cNvPr id="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6404" y="4425462"/>
          <a:ext cx="2256692" cy="1919653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69346" name="Line 5"/>
        <xdr:cNvSpPr>
          <a:spLocks noChangeShapeType="1"/>
        </xdr:cNvSpPr>
      </xdr:nvSpPr>
      <xdr:spPr bwMode="auto">
        <a:xfrm flipV="1">
          <a:off x="3124200" y="3962400"/>
          <a:ext cx="133350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22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869347" name="Line 6"/>
        <xdr:cNvSpPr>
          <a:spLocks noChangeShapeType="1"/>
        </xdr:cNvSpPr>
      </xdr:nvSpPr>
      <xdr:spPr bwMode="auto">
        <a:xfrm flipH="1" flipV="1">
          <a:off x="457200" y="3962400"/>
          <a:ext cx="266700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17</xdr:row>
      <xdr:rowOff>0</xdr:rowOff>
    </xdr:from>
    <xdr:to>
      <xdr:col>5</xdr:col>
      <xdr:colOff>0</xdr:colOff>
      <xdr:row>22</xdr:row>
      <xdr:rowOff>0</xdr:rowOff>
    </xdr:to>
    <xdr:sp macro="" textlink="">
      <xdr:nvSpPr>
        <xdr:cNvPr id="869348" name="Line 7"/>
        <xdr:cNvSpPr>
          <a:spLocks noChangeShapeType="1"/>
        </xdr:cNvSpPr>
      </xdr:nvSpPr>
      <xdr:spPr bwMode="auto">
        <a:xfrm flipH="1" flipV="1">
          <a:off x="1790700" y="3152775"/>
          <a:ext cx="266700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69349" name="Line 8"/>
        <xdr:cNvSpPr>
          <a:spLocks noChangeShapeType="1"/>
        </xdr:cNvSpPr>
      </xdr:nvSpPr>
      <xdr:spPr bwMode="auto">
        <a:xfrm flipV="1">
          <a:off x="457200" y="3152775"/>
          <a:ext cx="133350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69350" name="Line 9"/>
        <xdr:cNvSpPr>
          <a:spLocks noChangeShapeType="1"/>
        </xdr:cNvSpPr>
      </xdr:nvSpPr>
      <xdr:spPr bwMode="auto">
        <a:xfrm flipV="1">
          <a:off x="3124200" y="4448175"/>
          <a:ext cx="13335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0</xdr:rowOff>
    </xdr:from>
    <xdr:to>
      <xdr:col>3</xdr:col>
      <xdr:colOff>0</xdr:colOff>
      <xdr:row>22</xdr:row>
      <xdr:rowOff>0</xdr:rowOff>
    </xdr:to>
    <xdr:sp macro="" textlink="">
      <xdr:nvSpPr>
        <xdr:cNvPr id="869351" name="Line 10"/>
        <xdr:cNvSpPr>
          <a:spLocks noChangeShapeType="1"/>
        </xdr:cNvSpPr>
      </xdr:nvSpPr>
      <xdr:spPr bwMode="auto">
        <a:xfrm flipV="1">
          <a:off x="457200" y="3638550"/>
          <a:ext cx="133350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869352" name="Line 11"/>
        <xdr:cNvSpPr>
          <a:spLocks noChangeShapeType="1"/>
        </xdr:cNvSpPr>
      </xdr:nvSpPr>
      <xdr:spPr bwMode="auto">
        <a:xfrm>
          <a:off x="1790700" y="3638550"/>
          <a:ext cx="266700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0</xdr:colOff>
      <xdr:row>25</xdr:row>
      <xdr:rowOff>0</xdr:rowOff>
    </xdr:to>
    <xdr:sp macro="" textlink="">
      <xdr:nvSpPr>
        <xdr:cNvPr id="869353" name="Line 12"/>
        <xdr:cNvSpPr>
          <a:spLocks noChangeShapeType="1"/>
        </xdr:cNvSpPr>
      </xdr:nvSpPr>
      <xdr:spPr bwMode="auto">
        <a:xfrm>
          <a:off x="4457700" y="3962400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0</xdr:rowOff>
    </xdr:from>
    <xdr:to>
      <xdr:col>3</xdr:col>
      <xdr:colOff>9525</xdr:colOff>
      <xdr:row>20</xdr:row>
      <xdr:rowOff>0</xdr:rowOff>
    </xdr:to>
    <xdr:sp macro="" textlink="">
      <xdr:nvSpPr>
        <xdr:cNvPr id="869354" name="Line 13"/>
        <xdr:cNvSpPr>
          <a:spLocks noChangeShapeType="1"/>
        </xdr:cNvSpPr>
      </xdr:nvSpPr>
      <xdr:spPr bwMode="auto">
        <a:xfrm>
          <a:off x="1800225" y="3152775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19</xdr:row>
      <xdr:rowOff>114300</xdr:rowOff>
    </xdr:from>
    <xdr:to>
      <xdr:col>4</xdr:col>
      <xdr:colOff>104775</xdr:colOff>
      <xdr:row>24</xdr:row>
      <xdr:rowOff>114300</xdr:rowOff>
    </xdr:to>
    <xdr:sp macro="" textlink="">
      <xdr:nvSpPr>
        <xdr:cNvPr id="869355" name="Line 14"/>
        <xdr:cNvSpPr>
          <a:spLocks noChangeShapeType="1"/>
        </xdr:cNvSpPr>
      </xdr:nvSpPr>
      <xdr:spPr bwMode="auto">
        <a:xfrm flipV="1">
          <a:off x="1895475" y="3590925"/>
          <a:ext cx="1333500" cy="809625"/>
        </a:xfrm>
        <a:prstGeom prst="lin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352425</xdr:colOff>
      <xdr:row>19</xdr:row>
      <xdr:rowOff>114300</xdr:rowOff>
    </xdr:from>
    <xdr:to>
      <xdr:col>4</xdr:col>
      <xdr:colOff>95250</xdr:colOff>
      <xdr:row>22</xdr:row>
      <xdr:rowOff>95250</xdr:rowOff>
    </xdr:to>
    <xdr:sp macro="" textlink="">
      <xdr:nvSpPr>
        <xdr:cNvPr id="869356" name="Line 15"/>
        <xdr:cNvSpPr>
          <a:spLocks noChangeShapeType="1"/>
        </xdr:cNvSpPr>
      </xdr:nvSpPr>
      <xdr:spPr bwMode="auto">
        <a:xfrm flipH="1">
          <a:off x="809625" y="3590925"/>
          <a:ext cx="2409825" cy="466725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104775</xdr:colOff>
      <xdr:row>19</xdr:row>
      <xdr:rowOff>104775</xdr:rowOff>
    </xdr:from>
    <xdr:to>
      <xdr:col>4</xdr:col>
      <xdr:colOff>104775</xdr:colOff>
      <xdr:row>22</xdr:row>
      <xdr:rowOff>114300</xdr:rowOff>
    </xdr:to>
    <xdr:sp macro="" textlink="">
      <xdr:nvSpPr>
        <xdr:cNvPr id="869357" name="Line 16"/>
        <xdr:cNvSpPr>
          <a:spLocks noChangeShapeType="1"/>
        </xdr:cNvSpPr>
      </xdr:nvSpPr>
      <xdr:spPr bwMode="auto">
        <a:xfrm>
          <a:off x="3228975" y="3581400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22</xdr:row>
      <xdr:rowOff>104775</xdr:rowOff>
    </xdr:from>
    <xdr:to>
      <xdr:col>4</xdr:col>
      <xdr:colOff>104775</xdr:colOff>
      <xdr:row>24</xdr:row>
      <xdr:rowOff>114300</xdr:rowOff>
    </xdr:to>
    <xdr:sp macro="" textlink="">
      <xdr:nvSpPr>
        <xdr:cNvPr id="869358" name="Line 17"/>
        <xdr:cNvSpPr>
          <a:spLocks noChangeShapeType="1"/>
        </xdr:cNvSpPr>
      </xdr:nvSpPr>
      <xdr:spPr bwMode="auto">
        <a:xfrm flipV="1">
          <a:off x="1885950" y="4067175"/>
          <a:ext cx="13430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333375</xdr:colOff>
      <xdr:row>22</xdr:row>
      <xdr:rowOff>104775</xdr:rowOff>
    </xdr:from>
    <xdr:to>
      <xdr:col>4</xdr:col>
      <xdr:colOff>95250</xdr:colOff>
      <xdr:row>22</xdr:row>
      <xdr:rowOff>104775</xdr:rowOff>
    </xdr:to>
    <xdr:sp macro="" textlink="">
      <xdr:nvSpPr>
        <xdr:cNvPr id="869359" name="Line 18"/>
        <xdr:cNvSpPr>
          <a:spLocks noChangeShapeType="1"/>
        </xdr:cNvSpPr>
      </xdr:nvSpPr>
      <xdr:spPr bwMode="auto">
        <a:xfrm>
          <a:off x="790575" y="4067175"/>
          <a:ext cx="2428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828675</xdr:colOff>
      <xdr:row>22</xdr:row>
      <xdr:rowOff>95250</xdr:rowOff>
    </xdr:from>
    <xdr:to>
      <xdr:col>3</xdr:col>
      <xdr:colOff>1019175</xdr:colOff>
      <xdr:row>23</xdr:row>
      <xdr:rowOff>47625</xdr:rowOff>
    </xdr:to>
    <xdr:sp macro="" textlink="">
      <xdr:nvSpPr>
        <xdr:cNvPr id="869360" name="Arc 19"/>
        <xdr:cNvSpPr>
          <a:spLocks/>
        </xdr:cNvSpPr>
      </xdr:nvSpPr>
      <xdr:spPr bwMode="auto">
        <a:xfrm flipH="1" flipV="1">
          <a:off x="2619375" y="4057650"/>
          <a:ext cx="190500" cy="114300"/>
        </a:xfrm>
        <a:custGeom>
          <a:avLst/>
          <a:gdLst>
            <a:gd name="T0" fmla="*/ 0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0 60000 65536"/>
            <a:gd name="T7" fmla="*/ 0 60000 65536"/>
            <a:gd name="T8" fmla="*/ 0 60000 65536"/>
            <a:gd name="T9" fmla="*/ 0 w 21600"/>
            <a:gd name="T10" fmla="*/ 0 h 21600"/>
            <a:gd name="T11" fmla="*/ 21600 w 21600"/>
            <a:gd name="T12" fmla="*/ 21600 h 2160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77777</xdr:colOff>
      <xdr:row>19</xdr:row>
      <xdr:rowOff>116973</xdr:rowOff>
    </xdr:from>
    <xdr:ext cx="330219" cy="405432"/>
    <xdr:sp macro="" textlink="">
      <xdr:nvSpPr>
        <xdr:cNvPr id="2" name="Rettangolo 1"/>
        <xdr:cNvSpPr/>
      </xdr:nvSpPr>
      <xdr:spPr>
        <a:xfrm>
          <a:off x="3201977" y="3707898"/>
          <a:ext cx="33021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</a:t>
          </a:r>
        </a:p>
      </xdr:txBody>
    </xdr:sp>
    <xdr:clientData/>
  </xdr:oneCellAnchor>
  <xdr:oneCellAnchor>
    <xdr:from>
      <xdr:col>3</xdr:col>
      <xdr:colOff>804085</xdr:colOff>
      <xdr:row>23</xdr:row>
      <xdr:rowOff>88398</xdr:rowOff>
    </xdr:from>
    <xdr:ext cx="344454" cy="405432"/>
    <xdr:sp macro="" textlink="">
      <xdr:nvSpPr>
        <xdr:cNvPr id="18" name="Rettangolo 17"/>
        <xdr:cNvSpPr/>
      </xdr:nvSpPr>
      <xdr:spPr>
        <a:xfrm>
          <a:off x="2594785" y="4327023"/>
          <a:ext cx="344454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H</a:t>
          </a:r>
        </a:p>
      </xdr:txBody>
    </xdr:sp>
    <xdr:clientData/>
  </xdr:oneCellAnchor>
  <xdr:oneCellAnchor>
    <xdr:from>
      <xdr:col>3</xdr:col>
      <xdr:colOff>218542</xdr:colOff>
      <xdr:row>21</xdr:row>
      <xdr:rowOff>155073</xdr:rowOff>
    </xdr:from>
    <xdr:ext cx="563039" cy="405432"/>
    <xdr:sp macro="" textlink="">
      <xdr:nvSpPr>
        <xdr:cNvPr id="19" name="Rettangolo 18"/>
        <xdr:cNvSpPr/>
      </xdr:nvSpPr>
      <xdr:spPr>
        <a:xfrm>
          <a:off x="2009242" y="4069848"/>
          <a:ext cx="563039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it-IT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ang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23</xdr:col>
      <xdr:colOff>0</xdr:colOff>
      <xdr:row>58</xdr:row>
      <xdr:rowOff>0</xdr:rowOff>
    </xdr:to>
    <xdr:graphicFrame macro="">
      <xdr:nvGraphicFramePr>
        <xdr:cNvPr id="1092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676275</xdr:colOff>
      <xdr:row>0</xdr:row>
      <xdr:rowOff>0</xdr:rowOff>
    </xdr:from>
    <xdr:to>
      <xdr:col>17</xdr:col>
      <xdr:colOff>0</xdr:colOff>
      <xdr:row>9</xdr:row>
      <xdr:rowOff>47625</xdr:rowOff>
    </xdr:to>
    <xdr:pic>
      <xdr:nvPicPr>
        <xdr:cNvPr id="10927" name="Picture 9" descr="ROT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1575" y="0"/>
          <a:ext cx="18383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114300</xdr:rowOff>
    </xdr:from>
    <xdr:to>
      <xdr:col>18</xdr:col>
      <xdr:colOff>114300</xdr:colOff>
      <xdr:row>37</xdr:row>
      <xdr:rowOff>123825</xdr:rowOff>
    </xdr:to>
    <xdr:graphicFrame macro="">
      <xdr:nvGraphicFramePr>
        <xdr:cNvPr id="1160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104774</xdr:colOff>
      <xdr:row>2</xdr:row>
      <xdr:rowOff>9524</xdr:rowOff>
    </xdr:from>
    <xdr:to>
      <xdr:col>27</xdr:col>
      <xdr:colOff>533399</xdr:colOff>
      <xdr:row>51</xdr:row>
      <xdr:rowOff>9524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i\Xls\CN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NR"/>
      <sheetName val="Distanze di visibilità"/>
      <sheetName val="Andamento planimetrico asse"/>
      <sheetName val="Andamento altimetrico asse"/>
      <sheetName val="Diagramma velocità"/>
      <sheetName val="Corsie-acc"/>
      <sheetName val="Tab-riass"/>
      <sheetName val="Moto accelerato"/>
      <sheetName val="QP"/>
      <sheetName val="Varie"/>
      <sheetName val="Rotatoria 3 punti"/>
      <sheetName val="K Svincolo"/>
      <sheetName val="Tabella Visibilità"/>
      <sheetName val="Sezione Parametrica"/>
    </sheetNames>
    <sheetDataSet>
      <sheetData sheetId="0"/>
      <sheetData sheetId="1"/>
      <sheetData sheetId="2"/>
      <sheetData sheetId="3"/>
      <sheetData sheetId="4">
        <row r="19">
          <cell r="C19">
            <v>184</v>
          </cell>
          <cell r="D19">
            <v>5</v>
          </cell>
          <cell r="E19">
            <v>0.5</v>
          </cell>
          <cell r="F19">
            <v>1</v>
          </cell>
          <cell r="G19">
            <v>1.1000000000000001</v>
          </cell>
          <cell r="H19">
            <v>0.1</v>
          </cell>
        </row>
        <row r="31">
          <cell r="C31">
            <v>4600</v>
          </cell>
          <cell r="D31">
            <v>9100</v>
          </cell>
          <cell r="E31">
            <v>13</v>
          </cell>
          <cell r="F31">
            <v>3</v>
          </cell>
          <cell r="G31">
            <v>150</v>
          </cell>
          <cell r="H31">
            <v>0</v>
          </cell>
          <cell r="I31">
            <v>0</v>
          </cell>
        </row>
        <row r="34">
          <cell r="N34">
            <v>-333531</v>
          </cell>
        </row>
        <row r="35">
          <cell r="N35" t="e">
            <v>#NUM!</v>
          </cell>
        </row>
        <row r="36">
          <cell r="N36" t="e">
            <v>#NUM!</v>
          </cell>
        </row>
        <row r="37">
          <cell r="N37" t="e">
            <v>#NUM!</v>
          </cell>
        </row>
        <row r="38">
          <cell r="N38" t="e">
            <v>#NUM!</v>
          </cell>
        </row>
        <row r="39">
          <cell r="N39">
            <v>0.99905109489051092</v>
          </cell>
        </row>
        <row r="40">
          <cell r="N40">
            <v>4.3553527963545426E-2</v>
          </cell>
        </row>
        <row r="41">
          <cell r="N41">
            <v>3.0009004863126475E-2</v>
          </cell>
        </row>
        <row r="42">
          <cell r="N42">
            <v>0</v>
          </cell>
        </row>
        <row r="43">
          <cell r="N4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id="1" name="Tabella1" displayName="Tabella1" ref="A2:D17" totalsRowShown="0" headerRowDxfId="81" dataDxfId="80">
  <autoFilter ref="A2:D17"/>
  <tableColumns count="4">
    <tableColumn id="1" name="DATA" dataDxfId="79"/>
    <tableColumn id="2" name="FOGLIO" dataDxfId="78"/>
    <tableColumn id="3" name="TABELLA" dataDxfId="77"/>
    <tableColumn id="4" name="CONTENUTO" dataDxfId="7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cadballa.com/" TargetMode="External"/><Relationship Id="rId1" Type="http://schemas.openxmlformats.org/officeDocument/2006/relationships/hyperlink" Target="mailto:acadballa@acadballa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C2:D9"/>
  <sheetViews>
    <sheetView workbookViewId="0">
      <selection activeCell="D23" sqref="D23"/>
    </sheetView>
  </sheetViews>
  <sheetFormatPr defaultRowHeight="12.75"/>
  <cols>
    <col min="1" max="2" width="3.5703125" style="13" customWidth="1"/>
    <col min="3" max="3" width="19.85546875" style="13" customWidth="1"/>
    <col min="4" max="4" width="80.7109375" style="13" customWidth="1"/>
    <col min="5" max="16384" width="9.140625" style="13"/>
  </cols>
  <sheetData>
    <row r="2" spans="3:4" ht="13.5" thickBot="1"/>
    <row r="3" spans="3:4" ht="78" customHeight="1" thickBot="1">
      <c r="C3" s="1133" t="s">
        <v>881</v>
      </c>
      <c r="D3" s="1134"/>
    </row>
    <row r="4" spans="3:4" ht="15.75" customHeight="1" thickBot="1">
      <c r="C4" s="14"/>
      <c r="D4" s="14"/>
    </row>
    <row r="5" spans="3:4" s="61" customFormat="1" ht="38.25" customHeight="1" thickBot="1">
      <c r="C5" s="66" t="s">
        <v>287</v>
      </c>
      <c r="D5" s="62" t="s">
        <v>286</v>
      </c>
    </row>
    <row r="6" spans="3:4" s="61" customFormat="1" ht="15.75" customHeight="1" thickBot="1">
      <c r="C6" s="67"/>
      <c r="D6" s="63"/>
    </row>
    <row r="7" spans="3:4" s="61" customFormat="1" ht="38.25" customHeight="1" thickBot="1">
      <c r="C7" s="66" t="s">
        <v>288</v>
      </c>
      <c r="D7" s="64" t="s">
        <v>424</v>
      </c>
    </row>
    <row r="8" spans="3:4" s="61" customFormat="1" ht="15.75" customHeight="1" thickBot="1">
      <c r="C8" s="68"/>
      <c r="D8" s="65"/>
    </row>
    <row r="9" spans="3:4" s="61" customFormat="1" ht="38.25" customHeight="1" thickBot="1">
      <c r="C9" s="66" t="s">
        <v>425</v>
      </c>
      <c r="D9" s="64" t="s">
        <v>426</v>
      </c>
    </row>
  </sheetData>
  <sheetProtection algorithmName="SHA-512" hashValue="Cv0GqSjnwR+bVZbFnnI4bT6XE1NTqD4MEWDqLdyzSC7KWrzbZhe/gVjVOoFCu2RuxWRWDdclfemHFVdnMDWqFw==" saltValue="fqMJbWIajUkS2+hsQOG6Wg==" spinCount="100000" sheet="1" objects="1" scenarios="1"/>
  <mergeCells count="1">
    <mergeCell ref="C3:D3"/>
  </mergeCells>
  <phoneticPr fontId="0" type="noConversion"/>
  <hyperlinks>
    <hyperlink ref="D7" r:id="rId1"/>
    <hyperlink ref="D9" r:id="rId2"/>
  </hyperlinks>
  <pageMargins left="0.75" right="0.75" top="1" bottom="1" header="0.5" footer="0.5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7" sqref="D17"/>
    </sheetView>
  </sheetViews>
  <sheetFormatPr defaultRowHeight="15" customHeight="1"/>
  <cols>
    <col min="1" max="1" width="12.42578125" style="181" bestFit="1" customWidth="1"/>
    <col min="2" max="2" width="11.140625" style="181" bestFit="1" customWidth="1"/>
    <col min="3" max="3" width="45.85546875" style="181" bestFit="1" customWidth="1"/>
    <col min="4" max="4" width="93.140625" style="181" customWidth="1"/>
    <col min="5" max="16384" width="9.140625" style="181"/>
  </cols>
  <sheetData>
    <row r="1" spans="1:4" ht="15" customHeight="1" thickBot="1">
      <c r="A1" s="1135" t="s">
        <v>644</v>
      </c>
      <c r="B1" s="1136"/>
      <c r="C1" s="1136"/>
      <c r="D1" s="1137"/>
    </row>
    <row r="2" spans="1:4" ht="15" customHeight="1">
      <c r="A2" s="181" t="s">
        <v>638</v>
      </c>
      <c r="B2" s="181" t="s">
        <v>640</v>
      </c>
      <c r="C2" s="181" t="s">
        <v>642</v>
      </c>
      <c r="D2" s="181" t="s">
        <v>639</v>
      </c>
    </row>
    <row r="3" spans="1:4" ht="15" customHeight="1">
      <c r="A3" s="784">
        <v>42396</v>
      </c>
      <c r="B3" s="181" t="s">
        <v>937</v>
      </c>
      <c r="C3" s="969" t="s">
        <v>641</v>
      </c>
      <c r="D3" s="181" t="s">
        <v>643</v>
      </c>
    </row>
    <row r="4" spans="1:4" ht="15" customHeight="1">
      <c r="A4" s="784">
        <v>42515</v>
      </c>
      <c r="B4" s="181" t="s">
        <v>935</v>
      </c>
      <c r="C4" s="969" t="s">
        <v>622</v>
      </c>
      <c r="D4" s="181" t="s">
        <v>647</v>
      </c>
    </row>
    <row r="5" spans="1:4" ht="15" customHeight="1">
      <c r="A5" s="784">
        <v>42587</v>
      </c>
      <c r="B5" s="181" t="s">
        <v>938</v>
      </c>
      <c r="C5" s="969" t="s">
        <v>653</v>
      </c>
      <c r="D5" s="181" t="s">
        <v>654</v>
      </c>
    </row>
    <row r="6" spans="1:4" ht="15" customHeight="1">
      <c r="A6" s="784">
        <v>42935</v>
      </c>
      <c r="B6" s="181" t="s">
        <v>939</v>
      </c>
      <c r="C6" s="969" t="s">
        <v>655</v>
      </c>
      <c r="D6" s="181" t="s">
        <v>656</v>
      </c>
    </row>
    <row r="7" spans="1:4" ht="15" customHeight="1">
      <c r="A7" s="784">
        <v>42936</v>
      </c>
      <c r="B7" s="181" t="s">
        <v>940</v>
      </c>
      <c r="C7" s="969" t="s">
        <v>688</v>
      </c>
      <c r="D7" s="181" t="s">
        <v>792</v>
      </c>
    </row>
    <row r="8" spans="1:4" ht="15" customHeight="1">
      <c r="A8" s="784">
        <v>42971</v>
      </c>
      <c r="B8" s="181" t="s">
        <v>934</v>
      </c>
      <c r="C8" s="969" t="s">
        <v>788</v>
      </c>
      <c r="D8" s="181" t="s">
        <v>790</v>
      </c>
    </row>
    <row r="9" spans="1:4" ht="15" customHeight="1">
      <c r="A9" s="784">
        <v>42971</v>
      </c>
      <c r="B9" s="181" t="s">
        <v>937</v>
      </c>
      <c r="C9" s="969" t="s">
        <v>539</v>
      </c>
      <c r="D9" s="181" t="s">
        <v>791</v>
      </c>
    </row>
    <row r="10" spans="1:4" ht="15" customHeight="1">
      <c r="A10" s="784">
        <v>42971</v>
      </c>
      <c r="B10" s="181" t="s">
        <v>796</v>
      </c>
      <c r="C10" s="969" t="s">
        <v>797</v>
      </c>
      <c r="D10" s="181" t="s">
        <v>800</v>
      </c>
    </row>
    <row r="11" spans="1:4" ht="15" customHeight="1">
      <c r="A11" s="784">
        <v>43011</v>
      </c>
      <c r="B11" s="181" t="s">
        <v>936</v>
      </c>
      <c r="C11" s="969" t="s">
        <v>29</v>
      </c>
      <c r="D11" s="181" t="s">
        <v>848</v>
      </c>
    </row>
    <row r="12" spans="1:4" ht="15" customHeight="1">
      <c r="A12" s="784">
        <v>43012</v>
      </c>
      <c r="B12" s="181" t="s">
        <v>935</v>
      </c>
      <c r="C12" s="969" t="s">
        <v>929</v>
      </c>
      <c r="D12" s="181" t="s">
        <v>931</v>
      </c>
    </row>
    <row r="13" spans="1:4" ht="15" customHeight="1">
      <c r="A13" s="784">
        <v>43012</v>
      </c>
      <c r="B13" s="181" t="s">
        <v>934</v>
      </c>
      <c r="C13" s="969" t="s">
        <v>789</v>
      </c>
      <c r="D13" s="181" t="s">
        <v>933</v>
      </c>
    </row>
    <row r="14" spans="1:4" ht="15" customHeight="1">
      <c r="A14" s="784">
        <v>43019</v>
      </c>
      <c r="B14" s="181" t="s">
        <v>977</v>
      </c>
      <c r="C14" s="969" t="s">
        <v>977</v>
      </c>
      <c r="D14" s="181" t="s">
        <v>980</v>
      </c>
    </row>
    <row r="15" spans="1:4" ht="15" customHeight="1">
      <c r="A15" s="784">
        <v>43020</v>
      </c>
      <c r="B15" s="181" t="s">
        <v>1102</v>
      </c>
      <c r="C15" s="969" t="s">
        <v>1102</v>
      </c>
      <c r="D15" s="181" t="s">
        <v>1103</v>
      </c>
    </row>
    <row r="16" spans="1:4" ht="15" customHeight="1">
      <c r="A16" s="784">
        <v>43028</v>
      </c>
      <c r="B16" s="181" t="s">
        <v>1102</v>
      </c>
      <c r="D16" s="181" t="s">
        <v>1157</v>
      </c>
    </row>
    <row r="17" spans="1:4" ht="15" customHeight="1">
      <c r="A17" s="784">
        <v>43056</v>
      </c>
      <c r="B17" s="181" t="s">
        <v>1102</v>
      </c>
      <c r="D17" s="181" t="s">
        <v>1159</v>
      </c>
    </row>
  </sheetData>
  <mergeCells count="1">
    <mergeCell ref="A1:D1"/>
  </mergeCells>
  <hyperlinks>
    <hyperlink ref="C8" location="'TAB2'!C71" display="LUNGHEZZA RAMPA SOVRAPPASSO"/>
    <hyperlink ref="C9" location="PROF!K5" display="RACCORDI VERTICALI  ALTRE STRADE (B C D E F)"/>
    <hyperlink ref="C7" location="QROT4!A1" display="ROTATORIA 4 RAMI"/>
    <hyperlink ref="C6" location="QROT!A1" display="SETRA"/>
    <hyperlink ref="C5" location="ACCDEC!A1" display="CORSIE DI ACCELERAZIONE / DECELERAZIONE"/>
    <hyperlink ref="C4" location="VIS!C9" display="DISTANZA ARRESTO"/>
    <hyperlink ref="C3" location="PROF!C35" display="VISIBILITA GARANTITA IN FUNZIONE DEL RAGGIO"/>
    <hyperlink ref="C10" location="SCAMBIO!G5" display="ZONE DI SCAMBIO"/>
    <hyperlink ref="C12" location="VIS!C67" display="RAMPE MONODIREZIONALI"/>
    <hyperlink ref="C11" location="PLAN!C81" display="PENDENZE TRASVERSALI - RAGGIO - VELOCITA'"/>
    <hyperlink ref="C13" location="'TAB2'!C81" display="TABELLE"/>
    <hyperlink ref="C14" location="MOTOACC!A1" display="MOTOACC"/>
    <hyperlink ref="C15" location="MATH!A1" display="MATH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Z48"/>
  <sheetViews>
    <sheetView workbookViewId="0">
      <selection activeCell="B3" sqref="B3"/>
    </sheetView>
  </sheetViews>
  <sheetFormatPr defaultRowHeight="12.75"/>
  <cols>
    <col min="1" max="1" width="3.42578125" style="785" customWidth="1"/>
    <col min="2" max="2" width="32.85546875" style="785" customWidth="1"/>
    <col min="3" max="3" width="14.85546875" style="785" bestFit="1" customWidth="1"/>
    <col min="4" max="4" width="14.85546875" style="785" customWidth="1"/>
    <col min="5" max="5" width="9.140625" style="785"/>
    <col min="6" max="12" width="5.5703125" style="785" customWidth="1"/>
    <col min="13" max="13" width="7" style="785" customWidth="1"/>
    <col min="14" max="14" width="5.5703125" style="785" customWidth="1"/>
    <col min="15" max="15" width="6.7109375" style="785" bestFit="1" customWidth="1"/>
    <col min="16" max="24" width="9.140625" style="785"/>
    <col min="25" max="25" width="5" style="785" bestFit="1" customWidth="1"/>
    <col min="26" max="26" width="4.7109375" style="785" bestFit="1" customWidth="1"/>
    <col min="27" max="16384" width="9.140625" style="785"/>
  </cols>
  <sheetData>
    <row r="2" spans="2:26">
      <c r="E2" s="785">
        <v>1</v>
      </c>
      <c r="F2" s="785">
        <v>2</v>
      </c>
      <c r="G2" s="785">
        <v>3</v>
      </c>
      <c r="H2" s="785">
        <v>4</v>
      </c>
      <c r="I2" s="785">
        <v>5</v>
      </c>
      <c r="J2" s="785">
        <v>6</v>
      </c>
      <c r="K2" s="785">
        <v>7</v>
      </c>
      <c r="L2" s="785">
        <v>8</v>
      </c>
      <c r="M2" s="785">
        <v>9</v>
      </c>
      <c r="N2" s="785">
        <v>10</v>
      </c>
      <c r="O2" s="785">
        <v>11</v>
      </c>
      <c r="P2" s="785">
        <v>12</v>
      </c>
      <c r="Q2" s="785">
        <v>13</v>
      </c>
      <c r="R2" s="785">
        <v>14</v>
      </c>
      <c r="S2" s="785">
        <v>15</v>
      </c>
      <c r="T2" s="785">
        <v>16</v>
      </c>
      <c r="U2" s="785">
        <v>17</v>
      </c>
      <c r="V2" s="785">
        <v>18</v>
      </c>
      <c r="W2" s="785">
        <v>19</v>
      </c>
      <c r="X2" s="785">
        <v>20</v>
      </c>
    </row>
    <row r="3" spans="2:26">
      <c r="B3" s="786" t="s">
        <v>30</v>
      </c>
      <c r="C3" s="786" t="s">
        <v>62</v>
      </c>
      <c r="D3" s="786" t="s">
        <v>588</v>
      </c>
      <c r="E3" s="786" t="s">
        <v>587</v>
      </c>
      <c r="F3" s="786" t="s">
        <v>63</v>
      </c>
      <c r="G3" s="786" t="s">
        <v>137</v>
      </c>
      <c r="H3" s="786" t="s">
        <v>543</v>
      </c>
      <c r="I3" s="786" t="s">
        <v>544</v>
      </c>
      <c r="J3" s="786" t="s">
        <v>545</v>
      </c>
      <c r="K3" s="786" t="s">
        <v>9</v>
      </c>
      <c r="L3" s="786" t="s">
        <v>585</v>
      </c>
      <c r="M3" s="786" t="s">
        <v>546</v>
      </c>
      <c r="N3" s="786" t="s">
        <v>581</v>
      </c>
      <c r="O3" s="786" t="s">
        <v>188</v>
      </c>
      <c r="P3" s="786" t="s">
        <v>547</v>
      </c>
      <c r="Q3" s="786" t="s">
        <v>600</v>
      </c>
      <c r="R3" s="787" t="s">
        <v>552</v>
      </c>
      <c r="S3" s="787" t="s">
        <v>436</v>
      </c>
      <c r="T3" s="787" t="s">
        <v>553</v>
      </c>
      <c r="U3" s="787" t="s">
        <v>562</v>
      </c>
      <c r="V3" s="787" t="s">
        <v>554</v>
      </c>
      <c r="W3" s="787" t="s">
        <v>71</v>
      </c>
      <c r="X3" s="787" t="s">
        <v>555</v>
      </c>
      <c r="Y3" s="787" t="s">
        <v>556</v>
      </c>
      <c r="Z3" s="787" t="s">
        <v>557</v>
      </c>
    </row>
    <row r="4" spans="2:26">
      <c r="B4" s="1138" t="s">
        <v>598</v>
      </c>
      <c r="C4" s="1142" t="s">
        <v>586</v>
      </c>
      <c r="D4" s="1140" t="s">
        <v>65</v>
      </c>
      <c r="E4" s="346" t="s">
        <v>548</v>
      </c>
      <c r="F4" s="347">
        <v>90</v>
      </c>
      <c r="G4" s="347">
        <v>140</v>
      </c>
      <c r="H4" s="348">
        <v>2.6</v>
      </c>
      <c r="I4" s="348">
        <v>0.7</v>
      </c>
      <c r="J4" s="961">
        <v>2</v>
      </c>
      <c r="K4" s="348">
        <v>3.75</v>
      </c>
      <c r="L4" s="348"/>
      <c r="M4" s="348">
        <v>3</v>
      </c>
      <c r="N4" s="348"/>
      <c r="O4" s="349">
        <f>H4+2*(I4+J4*K4+L4+M4+N4)</f>
        <v>25</v>
      </c>
      <c r="P4" s="347" t="s">
        <v>8</v>
      </c>
      <c r="Q4" s="354">
        <v>1100</v>
      </c>
      <c r="R4" s="350">
        <v>339</v>
      </c>
      <c r="S4" s="350">
        <v>964</v>
      </c>
      <c r="T4" s="350">
        <v>4820</v>
      </c>
      <c r="U4" s="350">
        <v>10250</v>
      </c>
      <c r="V4" s="351">
        <v>7</v>
      </c>
      <c r="W4" s="352">
        <v>0.11799999999999999</v>
      </c>
      <c r="X4" s="788">
        <v>5</v>
      </c>
      <c r="Y4" s="1144">
        <v>25</v>
      </c>
      <c r="Z4" s="1144">
        <v>15</v>
      </c>
    </row>
    <row r="5" spans="2:26">
      <c r="B5" s="1139"/>
      <c r="C5" s="1143"/>
      <c r="D5" s="1141"/>
      <c r="E5" s="346" t="s">
        <v>549</v>
      </c>
      <c r="F5" s="347">
        <v>90</v>
      </c>
      <c r="G5" s="347">
        <v>140</v>
      </c>
      <c r="H5" s="348">
        <v>2.6</v>
      </c>
      <c r="I5" s="348">
        <v>0.7</v>
      </c>
      <c r="J5" s="961">
        <v>3</v>
      </c>
      <c r="K5" s="348">
        <v>3.75</v>
      </c>
      <c r="L5" s="348"/>
      <c r="M5" s="348">
        <v>3</v>
      </c>
      <c r="N5" s="348"/>
      <c r="O5" s="349">
        <f>H5+2*(I5+J5*K5+L5+M5+N5)</f>
        <v>32.5</v>
      </c>
      <c r="P5" s="347"/>
      <c r="Q5" s="354"/>
      <c r="R5" s="350">
        <v>339</v>
      </c>
      <c r="S5" s="350">
        <v>964</v>
      </c>
      <c r="T5" s="350">
        <v>4820</v>
      </c>
      <c r="U5" s="350">
        <v>10250</v>
      </c>
      <c r="V5" s="351">
        <v>7</v>
      </c>
      <c r="W5" s="352">
        <v>0.11799999999999999</v>
      </c>
      <c r="X5" s="788">
        <v>5</v>
      </c>
      <c r="Y5" s="1145"/>
      <c r="Z5" s="1145"/>
    </row>
    <row r="6" spans="2:26">
      <c r="B6" s="1138" t="s">
        <v>598</v>
      </c>
      <c r="C6" s="1142" t="s">
        <v>586</v>
      </c>
      <c r="D6" s="1140" t="s">
        <v>64</v>
      </c>
      <c r="E6" s="346" t="s">
        <v>550</v>
      </c>
      <c r="F6" s="347">
        <v>40</v>
      </c>
      <c r="G6" s="347">
        <v>100</v>
      </c>
      <c r="H6" s="348">
        <v>2.6</v>
      </c>
      <c r="I6" s="348">
        <v>0.5</v>
      </c>
      <c r="J6" s="961">
        <v>1</v>
      </c>
      <c r="K6" s="348">
        <v>3.75</v>
      </c>
      <c r="L6" s="348"/>
      <c r="M6" s="348">
        <v>1.25</v>
      </c>
      <c r="N6" s="348"/>
      <c r="O6" s="349">
        <f>H6+2*(I6+J6*K6+L6+M6+N6)</f>
        <v>13.6</v>
      </c>
      <c r="P6" s="347" t="s">
        <v>9</v>
      </c>
      <c r="Q6" s="354">
        <v>650</v>
      </c>
      <c r="R6" s="350">
        <v>45</v>
      </c>
      <c r="S6" s="350">
        <v>437</v>
      </c>
      <c r="T6" s="350">
        <v>2187</v>
      </c>
      <c r="U6" s="350">
        <v>5250</v>
      </c>
      <c r="V6" s="351">
        <v>7</v>
      </c>
      <c r="W6" s="352">
        <v>0.21</v>
      </c>
      <c r="X6" s="788">
        <v>5</v>
      </c>
      <c r="Y6" s="1144">
        <v>25</v>
      </c>
      <c r="Z6" s="1144">
        <v>15</v>
      </c>
    </row>
    <row r="7" spans="2:26">
      <c r="B7" s="1139"/>
      <c r="C7" s="1143"/>
      <c r="D7" s="1141"/>
      <c r="E7" s="346" t="s">
        <v>551</v>
      </c>
      <c r="F7" s="347">
        <v>40</v>
      </c>
      <c r="G7" s="347">
        <v>100</v>
      </c>
      <c r="H7" s="348">
        <v>2.6</v>
      </c>
      <c r="I7" s="348">
        <v>0.5</v>
      </c>
      <c r="J7" s="961">
        <v>2</v>
      </c>
      <c r="K7" s="348">
        <v>3.5</v>
      </c>
      <c r="L7" s="348"/>
      <c r="M7" s="348">
        <v>1.25</v>
      </c>
      <c r="N7" s="348"/>
      <c r="O7" s="349">
        <f>H7+2*(I7+J7*K7+L7+M7+N7)</f>
        <v>20.100000000000001</v>
      </c>
      <c r="P7" s="347" t="s">
        <v>9</v>
      </c>
      <c r="Q7" s="354">
        <v>1350</v>
      </c>
      <c r="R7" s="350">
        <v>45</v>
      </c>
      <c r="S7" s="350">
        <v>437</v>
      </c>
      <c r="T7" s="350">
        <v>2187</v>
      </c>
      <c r="U7" s="350">
        <v>5250</v>
      </c>
      <c r="V7" s="351">
        <v>7</v>
      </c>
      <c r="W7" s="352">
        <v>0.21</v>
      </c>
      <c r="X7" s="788">
        <v>5</v>
      </c>
      <c r="Y7" s="1145"/>
      <c r="Z7" s="1145"/>
    </row>
    <row r="8" spans="2:26">
      <c r="B8" s="1138" t="s">
        <v>598</v>
      </c>
      <c r="C8" s="1142" t="s">
        <v>37</v>
      </c>
      <c r="D8" s="1140" t="s">
        <v>65</v>
      </c>
      <c r="E8" s="346" t="s">
        <v>563</v>
      </c>
      <c r="F8" s="347">
        <v>80</v>
      </c>
      <c r="G8" s="347">
        <v>140</v>
      </c>
      <c r="H8" s="348">
        <v>1.8</v>
      </c>
      <c r="I8" s="348">
        <v>0.7</v>
      </c>
      <c r="J8" s="961">
        <v>2</v>
      </c>
      <c r="K8" s="348">
        <v>3.75</v>
      </c>
      <c r="L8" s="348"/>
      <c r="M8" s="348">
        <v>3</v>
      </c>
      <c r="N8" s="348"/>
      <c r="O8" s="349">
        <f t="shared" ref="O8:O18" si="0">H8+2*(I8+J8*K8+L8+M8+N8)</f>
        <v>24.2</v>
      </c>
      <c r="P8" s="347" t="s">
        <v>9</v>
      </c>
      <c r="Q8" s="354">
        <v>1550</v>
      </c>
      <c r="R8" s="354">
        <v>252</v>
      </c>
      <c r="S8" s="354">
        <v>964</v>
      </c>
      <c r="T8" s="354">
        <v>4820</v>
      </c>
      <c r="U8" s="354">
        <v>10250</v>
      </c>
      <c r="V8" s="355">
        <v>7</v>
      </c>
      <c r="W8" s="356">
        <v>0.13</v>
      </c>
      <c r="X8" s="347">
        <v>6</v>
      </c>
      <c r="Y8" s="1144">
        <v>25</v>
      </c>
      <c r="Z8" s="1144">
        <v>15</v>
      </c>
    </row>
    <row r="9" spans="2:26">
      <c r="B9" s="1139"/>
      <c r="C9" s="1143"/>
      <c r="D9" s="1141"/>
      <c r="E9" s="346" t="s">
        <v>564</v>
      </c>
      <c r="F9" s="347">
        <v>80</v>
      </c>
      <c r="G9" s="347">
        <v>140</v>
      </c>
      <c r="H9" s="348">
        <v>1.8</v>
      </c>
      <c r="I9" s="348">
        <v>0.7</v>
      </c>
      <c r="J9" s="961">
        <v>3</v>
      </c>
      <c r="K9" s="348">
        <v>3.75</v>
      </c>
      <c r="L9" s="348"/>
      <c r="M9" s="348">
        <v>3</v>
      </c>
      <c r="N9" s="348"/>
      <c r="O9" s="349">
        <f t="shared" si="0"/>
        <v>31.7</v>
      </c>
      <c r="P9" s="347" t="s">
        <v>9</v>
      </c>
      <c r="Q9" s="354"/>
      <c r="R9" s="354">
        <v>252</v>
      </c>
      <c r="S9" s="354">
        <v>964</v>
      </c>
      <c r="T9" s="354">
        <v>4820</v>
      </c>
      <c r="U9" s="354">
        <v>10250</v>
      </c>
      <c r="V9" s="355">
        <v>7</v>
      </c>
      <c r="W9" s="356">
        <v>0.13</v>
      </c>
      <c r="X9" s="347">
        <v>6</v>
      </c>
      <c r="Y9" s="1145"/>
      <c r="Z9" s="1145"/>
    </row>
    <row r="10" spans="2:26">
      <c r="B10" s="1138" t="s">
        <v>598</v>
      </c>
      <c r="C10" s="1142" t="s">
        <v>37</v>
      </c>
      <c r="D10" s="1146" t="s">
        <v>64</v>
      </c>
      <c r="E10" s="346" t="s">
        <v>565</v>
      </c>
      <c r="F10" s="347">
        <v>40</v>
      </c>
      <c r="G10" s="789">
        <v>60</v>
      </c>
      <c r="H10" s="348">
        <v>1.8</v>
      </c>
      <c r="I10" s="348">
        <v>0.5</v>
      </c>
      <c r="J10" s="961">
        <v>1</v>
      </c>
      <c r="K10" s="348">
        <v>3.75</v>
      </c>
      <c r="L10" s="348"/>
      <c r="M10" s="348">
        <v>1.25</v>
      </c>
      <c r="N10" s="348">
        <v>1.5</v>
      </c>
      <c r="O10" s="349">
        <f>H10+2*(I10+J10*K10+L10+M10+N10)</f>
        <v>15.8</v>
      </c>
      <c r="P10" s="347" t="s">
        <v>12</v>
      </c>
      <c r="Q10" s="354">
        <v>1150</v>
      </c>
      <c r="R10" s="354">
        <v>51</v>
      </c>
      <c r="S10" s="354">
        <v>121</v>
      </c>
      <c r="T10" s="354">
        <v>204</v>
      </c>
      <c r="U10" s="354">
        <v>1150</v>
      </c>
      <c r="V10" s="355">
        <v>3.5</v>
      </c>
      <c r="W10" s="356">
        <v>0.21</v>
      </c>
      <c r="X10" s="347">
        <v>6</v>
      </c>
      <c r="Y10" s="1157">
        <v>25</v>
      </c>
      <c r="Z10" s="1157">
        <v>15</v>
      </c>
    </row>
    <row r="11" spans="2:26">
      <c r="B11" s="1139"/>
      <c r="C11" s="1143"/>
      <c r="D11" s="1146"/>
      <c r="E11" s="346" t="s">
        <v>566</v>
      </c>
      <c r="F11" s="347">
        <v>40</v>
      </c>
      <c r="G11" s="789">
        <v>60</v>
      </c>
      <c r="H11" s="348">
        <v>1.8</v>
      </c>
      <c r="I11" s="348">
        <v>0.5</v>
      </c>
      <c r="J11" s="961">
        <v>1</v>
      </c>
      <c r="K11" s="348">
        <v>3</v>
      </c>
      <c r="L11" s="348">
        <v>3.5</v>
      </c>
      <c r="M11" s="348">
        <v>0.5</v>
      </c>
      <c r="N11" s="348">
        <v>1.5</v>
      </c>
      <c r="O11" s="349">
        <f>H11+2*(I11+J11*K11+L11+M11+N11)</f>
        <v>19.8</v>
      </c>
      <c r="P11" s="347" t="s">
        <v>12</v>
      </c>
      <c r="Q11" s="354">
        <v>1650</v>
      </c>
      <c r="R11" s="354">
        <v>51</v>
      </c>
      <c r="S11" s="354">
        <v>121</v>
      </c>
      <c r="T11" s="354">
        <v>204</v>
      </c>
      <c r="U11" s="354">
        <v>1150</v>
      </c>
      <c r="V11" s="355">
        <v>3.5</v>
      </c>
      <c r="W11" s="356">
        <v>0.21</v>
      </c>
      <c r="X11" s="347">
        <v>6</v>
      </c>
      <c r="Y11" s="1157"/>
      <c r="Z11" s="1157"/>
    </row>
    <row r="12" spans="2:26">
      <c r="B12" s="790"/>
      <c r="C12" s="791"/>
      <c r="D12" s="792"/>
      <c r="E12" s="792" t="s">
        <v>606</v>
      </c>
      <c r="F12" s="509">
        <v>80</v>
      </c>
      <c r="G12" s="509">
        <v>140</v>
      </c>
      <c r="H12" s="519">
        <v>2</v>
      </c>
      <c r="I12" s="519">
        <v>0.5</v>
      </c>
      <c r="J12" s="962">
        <v>2</v>
      </c>
      <c r="K12" s="519">
        <v>3.5</v>
      </c>
      <c r="L12" s="519"/>
      <c r="M12" s="519">
        <v>1.75</v>
      </c>
      <c r="N12" s="519"/>
      <c r="O12" s="793">
        <f t="shared" si="0"/>
        <v>20.5</v>
      </c>
      <c r="P12" s="509" t="s">
        <v>9</v>
      </c>
      <c r="Q12" s="794"/>
      <c r="R12" s="794">
        <v>252</v>
      </c>
      <c r="S12" s="794">
        <v>964</v>
      </c>
      <c r="T12" s="794">
        <v>4820</v>
      </c>
      <c r="U12" s="794">
        <v>10250</v>
      </c>
      <c r="V12" s="795">
        <v>7</v>
      </c>
      <c r="W12" s="796">
        <v>0.13</v>
      </c>
      <c r="X12" s="509">
        <v>6</v>
      </c>
      <c r="Y12" s="797"/>
      <c r="Z12" s="797"/>
    </row>
    <row r="13" spans="2:26">
      <c r="B13" s="1138" t="s">
        <v>599</v>
      </c>
      <c r="C13" s="1142" t="s">
        <v>586</v>
      </c>
      <c r="D13" s="1146" t="s">
        <v>65</v>
      </c>
      <c r="E13" s="346" t="s">
        <v>567</v>
      </c>
      <c r="F13" s="347">
        <v>70</v>
      </c>
      <c r="G13" s="347">
        <v>120</v>
      </c>
      <c r="H13" s="348">
        <v>2.5</v>
      </c>
      <c r="I13" s="348">
        <v>0.5</v>
      </c>
      <c r="J13" s="961">
        <v>2</v>
      </c>
      <c r="K13" s="348">
        <v>3.75</v>
      </c>
      <c r="L13" s="348"/>
      <c r="M13" s="348">
        <v>3</v>
      </c>
      <c r="N13" s="348"/>
      <c r="O13" s="349">
        <f t="shared" si="0"/>
        <v>24.5</v>
      </c>
      <c r="P13" s="347"/>
      <c r="Q13" s="354"/>
      <c r="R13" s="354">
        <v>178</v>
      </c>
      <c r="S13" s="354">
        <v>667</v>
      </c>
      <c r="T13" s="354">
        <v>3334</v>
      </c>
      <c r="U13" s="354">
        <v>7500</v>
      </c>
      <c r="V13" s="355">
        <v>7</v>
      </c>
      <c r="W13" s="356">
        <v>0.14699999999999999</v>
      </c>
      <c r="X13" s="347">
        <v>5</v>
      </c>
      <c r="Y13" s="1157">
        <v>25</v>
      </c>
      <c r="Z13" s="1157">
        <v>15</v>
      </c>
    </row>
    <row r="14" spans="2:26">
      <c r="B14" s="1139"/>
      <c r="C14" s="1143"/>
      <c r="D14" s="1146"/>
      <c r="E14" s="346" t="s">
        <v>568</v>
      </c>
      <c r="F14" s="347">
        <v>70</v>
      </c>
      <c r="G14" s="347">
        <v>120</v>
      </c>
      <c r="H14" s="348">
        <v>2.5</v>
      </c>
      <c r="I14" s="348">
        <v>0.5</v>
      </c>
      <c r="J14" s="961">
        <v>3</v>
      </c>
      <c r="K14" s="348">
        <v>3.75</v>
      </c>
      <c r="L14" s="348"/>
      <c r="M14" s="348">
        <v>3</v>
      </c>
      <c r="N14" s="348"/>
      <c r="O14" s="349">
        <f t="shared" si="0"/>
        <v>32</v>
      </c>
      <c r="P14" s="347"/>
      <c r="Q14" s="354"/>
      <c r="R14" s="354">
        <v>178</v>
      </c>
      <c r="S14" s="354">
        <v>667</v>
      </c>
      <c r="T14" s="354">
        <v>3334</v>
      </c>
      <c r="U14" s="354">
        <v>7500</v>
      </c>
      <c r="V14" s="355">
        <v>7</v>
      </c>
      <c r="W14" s="356">
        <v>0.14699999999999999</v>
      </c>
      <c r="X14" s="347">
        <v>5</v>
      </c>
      <c r="Y14" s="1157"/>
      <c r="Z14" s="1157"/>
    </row>
    <row r="15" spans="2:26">
      <c r="B15" s="1138" t="s">
        <v>599</v>
      </c>
      <c r="C15" s="1142" t="s">
        <v>586</v>
      </c>
      <c r="D15" s="1146" t="s">
        <v>64</v>
      </c>
      <c r="E15" s="346" t="s">
        <v>569</v>
      </c>
      <c r="F15" s="347">
        <v>40</v>
      </c>
      <c r="G15" s="347">
        <v>100</v>
      </c>
      <c r="H15" s="348">
        <v>2.5</v>
      </c>
      <c r="I15" s="348">
        <v>0.5</v>
      </c>
      <c r="J15" s="961">
        <v>1</v>
      </c>
      <c r="K15" s="348">
        <v>3.75</v>
      </c>
      <c r="L15" s="348"/>
      <c r="M15" s="348">
        <v>1.25</v>
      </c>
      <c r="N15" s="348"/>
      <c r="O15" s="349">
        <f>H15+2*(I15+J15*K15+L15+M15+N15)</f>
        <v>13.5</v>
      </c>
      <c r="P15" s="347"/>
      <c r="Q15" s="354"/>
      <c r="R15" s="354">
        <v>45</v>
      </c>
      <c r="S15" s="354">
        <v>437</v>
      </c>
      <c r="T15" s="354">
        <v>2187</v>
      </c>
      <c r="U15" s="354">
        <v>5250</v>
      </c>
      <c r="V15" s="355">
        <v>7</v>
      </c>
      <c r="W15" s="356">
        <v>0.21</v>
      </c>
      <c r="X15" s="347">
        <v>5</v>
      </c>
      <c r="Y15" s="1157">
        <v>25</v>
      </c>
      <c r="Z15" s="1157">
        <v>15</v>
      </c>
    </row>
    <row r="16" spans="2:26">
      <c r="B16" s="1139"/>
      <c r="C16" s="1143"/>
      <c r="D16" s="1146"/>
      <c r="E16" s="346" t="s">
        <v>570</v>
      </c>
      <c r="F16" s="347">
        <v>40</v>
      </c>
      <c r="G16" s="347">
        <v>100</v>
      </c>
      <c r="H16" s="348">
        <v>2.5</v>
      </c>
      <c r="I16" s="348">
        <v>0.5</v>
      </c>
      <c r="J16" s="961">
        <v>2</v>
      </c>
      <c r="K16" s="348">
        <v>3.5</v>
      </c>
      <c r="L16" s="348"/>
      <c r="M16" s="348">
        <v>1.25</v>
      </c>
      <c r="N16" s="348"/>
      <c r="O16" s="349">
        <f>H16+2*(I16+J16*K16+L16+M16+N16)</f>
        <v>20</v>
      </c>
      <c r="P16" s="347"/>
      <c r="Q16" s="354"/>
      <c r="R16" s="354">
        <v>45</v>
      </c>
      <c r="S16" s="354">
        <v>437</v>
      </c>
      <c r="T16" s="354">
        <v>2187</v>
      </c>
      <c r="U16" s="354">
        <v>5250</v>
      </c>
      <c r="V16" s="355">
        <v>7</v>
      </c>
      <c r="W16" s="356">
        <v>0.21</v>
      </c>
      <c r="X16" s="347">
        <v>5</v>
      </c>
      <c r="Y16" s="1157"/>
      <c r="Z16" s="1157"/>
    </row>
    <row r="17" spans="2:26">
      <c r="B17" s="1138" t="s">
        <v>599</v>
      </c>
      <c r="C17" s="1142" t="s">
        <v>37</v>
      </c>
      <c r="D17" s="1140" t="s">
        <v>65</v>
      </c>
      <c r="E17" s="346" t="s">
        <v>571</v>
      </c>
      <c r="F17" s="347">
        <v>70</v>
      </c>
      <c r="G17" s="347">
        <v>120</v>
      </c>
      <c r="H17" s="348">
        <v>1.8</v>
      </c>
      <c r="I17" s="348">
        <v>0.5</v>
      </c>
      <c r="J17" s="961">
        <v>2</v>
      </c>
      <c r="K17" s="348">
        <v>3.75</v>
      </c>
      <c r="L17" s="348"/>
      <c r="M17" s="348">
        <v>3</v>
      </c>
      <c r="N17" s="348"/>
      <c r="O17" s="349">
        <f t="shared" si="0"/>
        <v>23.8</v>
      </c>
      <c r="P17" s="347"/>
      <c r="Q17" s="354"/>
      <c r="R17" s="354">
        <v>178</v>
      </c>
      <c r="S17" s="354">
        <v>667</v>
      </c>
      <c r="T17" s="354">
        <v>3334</v>
      </c>
      <c r="U17" s="354">
        <v>7500</v>
      </c>
      <c r="V17" s="355">
        <v>7</v>
      </c>
      <c r="W17" s="356">
        <v>0.14699999999999999</v>
      </c>
      <c r="X17" s="347">
        <v>6</v>
      </c>
      <c r="Y17" s="1144">
        <v>25</v>
      </c>
      <c r="Z17" s="1144">
        <v>15</v>
      </c>
    </row>
    <row r="18" spans="2:26">
      <c r="B18" s="1139"/>
      <c r="C18" s="1143"/>
      <c r="D18" s="1141"/>
      <c r="E18" s="346" t="s">
        <v>572</v>
      </c>
      <c r="F18" s="347">
        <v>70</v>
      </c>
      <c r="G18" s="347">
        <v>120</v>
      </c>
      <c r="H18" s="348">
        <v>1.8</v>
      </c>
      <c r="I18" s="348">
        <v>0.5</v>
      </c>
      <c r="J18" s="961">
        <v>3</v>
      </c>
      <c r="K18" s="348">
        <v>3.75</v>
      </c>
      <c r="L18" s="348"/>
      <c r="M18" s="348">
        <v>3</v>
      </c>
      <c r="N18" s="348"/>
      <c r="O18" s="349">
        <f t="shared" si="0"/>
        <v>31.3</v>
      </c>
      <c r="P18" s="347"/>
      <c r="Q18" s="354"/>
      <c r="R18" s="354">
        <v>178</v>
      </c>
      <c r="S18" s="354">
        <v>667</v>
      </c>
      <c r="T18" s="354">
        <v>3334</v>
      </c>
      <c r="U18" s="354">
        <v>7500</v>
      </c>
      <c r="V18" s="355">
        <v>7</v>
      </c>
      <c r="W18" s="356">
        <v>0.14699999999999999</v>
      </c>
      <c r="X18" s="347">
        <v>6</v>
      </c>
      <c r="Y18" s="1145"/>
      <c r="Z18" s="1145"/>
    </row>
    <row r="19" spans="2:26">
      <c r="B19" s="1138" t="s">
        <v>599</v>
      </c>
      <c r="C19" s="1142" t="s">
        <v>37</v>
      </c>
      <c r="D19" s="1140" t="s">
        <v>64</v>
      </c>
      <c r="E19" s="346" t="s">
        <v>573</v>
      </c>
      <c r="F19" s="347">
        <v>40</v>
      </c>
      <c r="G19" s="789">
        <v>60</v>
      </c>
      <c r="H19" s="348">
        <v>1.8</v>
      </c>
      <c r="I19" s="348">
        <v>0.5</v>
      </c>
      <c r="J19" s="961">
        <v>1</v>
      </c>
      <c r="K19" s="348">
        <v>3.75</v>
      </c>
      <c r="L19" s="348"/>
      <c r="M19" s="348">
        <v>1.25</v>
      </c>
      <c r="N19" s="348"/>
      <c r="O19" s="349">
        <f t="shared" ref="O19:O46" si="1">H19+2*(I19+J19*K19+L19+M19+N19)</f>
        <v>12.8</v>
      </c>
      <c r="P19" s="347"/>
      <c r="Q19" s="354"/>
      <c r="R19" s="354">
        <v>51</v>
      </c>
      <c r="S19" s="354">
        <v>121</v>
      </c>
      <c r="T19" s="354">
        <v>204</v>
      </c>
      <c r="U19" s="354">
        <v>1150</v>
      </c>
      <c r="V19" s="355">
        <v>3.5</v>
      </c>
      <c r="W19" s="356">
        <v>0.21</v>
      </c>
      <c r="X19" s="347">
        <v>6</v>
      </c>
      <c r="Y19" s="1144">
        <v>25</v>
      </c>
      <c r="Z19" s="1144">
        <v>15</v>
      </c>
    </row>
    <row r="20" spans="2:26">
      <c r="B20" s="1139"/>
      <c r="C20" s="1143"/>
      <c r="D20" s="1141"/>
      <c r="E20" s="346" t="s">
        <v>574</v>
      </c>
      <c r="F20" s="347">
        <v>40</v>
      </c>
      <c r="G20" s="789">
        <v>60</v>
      </c>
      <c r="H20" s="348">
        <v>1.8</v>
      </c>
      <c r="I20" s="348">
        <v>0.5</v>
      </c>
      <c r="J20" s="961">
        <v>2</v>
      </c>
      <c r="K20" s="348">
        <v>3.5</v>
      </c>
      <c r="L20" s="348"/>
      <c r="M20" s="348">
        <v>1.25</v>
      </c>
      <c r="N20" s="348"/>
      <c r="O20" s="349">
        <f t="shared" si="1"/>
        <v>19.3</v>
      </c>
      <c r="P20" s="347"/>
      <c r="Q20" s="354"/>
      <c r="R20" s="354">
        <v>51</v>
      </c>
      <c r="S20" s="354">
        <v>121</v>
      </c>
      <c r="T20" s="354">
        <v>204</v>
      </c>
      <c r="U20" s="354">
        <v>1150</v>
      </c>
      <c r="V20" s="355">
        <v>3.5</v>
      </c>
      <c r="W20" s="356">
        <v>0.21</v>
      </c>
      <c r="X20" s="347">
        <v>6</v>
      </c>
      <c r="Y20" s="1145"/>
      <c r="Z20" s="1145"/>
    </row>
    <row r="21" spans="2:26">
      <c r="B21" s="798"/>
      <c r="C21" s="791"/>
      <c r="D21" s="792"/>
      <c r="E21" s="792" t="s">
        <v>605</v>
      </c>
      <c r="F21" s="509"/>
      <c r="G21" s="799"/>
      <c r="H21" s="519"/>
      <c r="I21" s="519"/>
      <c r="J21" s="962"/>
      <c r="K21" s="519"/>
      <c r="L21" s="519"/>
      <c r="M21" s="519"/>
      <c r="N21" s="519"/>
      <c r="O21" s="793">
        <f t="shared" si="1"/>
        <v>0</v>
      </c>
      <c r="P21" s="509"/>
      <c r="Q21" s="794"/>
      <c r="R21" s="794"/>
      <c r="S21" s="794"/>
      <c r="T21" s="794"/>
      <c r="U21" s="794"/>
      <c r="V21" s="795"/>
      <c r="W21" s="796"/>
      <c r="X21" s="509"/>
      <c r="Y21" s="797"/>
      <c r="Z21" s="797"/>
    </row>
    <row r="22" spans="2:26">
      <c r="B22" s="1159" t="s">
        <v>593</v>
      </c>
      <c r="C22" s="1147" t="s">
        <v>586</v>
      </c>
      <c r="D22" s="1165" t="s">
        <v>65</v>
      </c>
      <c r="E22" s="358" t="s">
        <v>575</v>
      </c>
      <c r="F22" s="359">
        <v>70</v>
      </c>
      <c r="G22" s="359">
        <v>120</v>
      </c>
      <c r="H22" s="360">
        <v>2.5</v>
      </c>
      <c r="I22" s="360">
        <v>0.5</v>
      </c>
      <c r="J22" s="963">
        <v>2</v>
      </c>
      <c r="K22" s="360">
        <v>3.75</v>
      </c>
      <c r="L22" s="360"/>
      <c r="M22" s="360">
        <v>1.75</v>
      </c>
      <c r="N22" s="360"/>
      <c r="O22" s="361">
        <f t="shared" si="1"/>
        <v>22</v>
      </c>
      <c r="P22" s="359" t="s">
        <v>8</v>
      </c>
      <c r="Q22" s="362">
        <v>1000</v>
      </c>
      <c r="R22" s="362">
        <v>178</v>
      </c>
      <c r="S22" s="362">
        <v>667</v>
      </c>
      <c r="T22" s="362">
        <v>3334</v>
      </c>
      <c r="U22" s="362">
        <v>7500</v>
      </c>
      <c r="V22" s="363">
        <v>7</v>
      </c>
      <c r="W22" s="364">
        <v>0.14699999999999999</v>
      </c>
      <c r="X22" s="359">
        <v>6</v>
      </c>
      <c r="Y22" s="1158">
        <v>25</v>
      </c>
      <c r="Z22" s="1158">
        <v>15</v>
      </c>
    </row>
    <row r="23" spans="2:26">
      <c r="B23" s="1159"/>
      <c r="C23" s="1148"/>
      <c r="D23" s="1165"/>
      <c r="E23" s="358" t="s">
        <v>576</v>
      </c>
      <c r="F23" s="359">
        <v>70</v>
      </c>
      <c r="G23" s="359">
        <v>120</v>
      </c>
      <c r="H23" s="360">
        <v>2.5</v>
      </c>
      <c r="I23" s="360">
        <v>0.5</v>
      </c>
      <c r="J23" s="963">
        <v>3</v>
      </c>
      <c r="K23" s="360">
        <v>3.75</v>
      </c>
      <c r="L23" s="360"/>
      <c r="M23" s="360">
        <v>1.75</v>
      </c>
      <c r="N23" s="360"/>
      <c r="O23" s="361">
        <f t="shared" si="1"/>
        <v>29.5</v>
      </c>
      <c r="P23" s="359"/>
      <c r="Q23" s="362"/>
      <c r="R23" s="362">
        <v>178</v>
      </c>
      <c r="S23" s="362">
        <v>667</v>
      </c>
      <c r="T23" s="362">
        <v>3334</v>
      </c>
      <c r="U23" s="362">
        <v>7500</v>
      </c>
      <c r="V23" s="363">
        <v>7</v>
      </c>
      <c r="W23" s="364">
        <v>0.14699999999999999</v>
      </c>
      <c r="X23" s="359">
        <v>6</v>
      </c>
      <c r="Y23" s="1158"/>
      <c r="Z23" s="1158"/>
    </row>
    <row r="24" spans="2:26">
      <c r="B24" s="1159"/>
      <c r="C24" s="1147" t="s">
        <v>586</v>
      </c>
      <c r="D24" s="1165" t="s">
        <v>64</v>
      </c>
      <c r="E24" s="358" t="s">
        <v>577</v>
      </c>
      <c r="F24" s="359">
        <v>40</v>
      </c>
      <c r="G24" s="359">
        <v>100</v>
      </c>
      <c r="H24" s="360">
        <v>2</v>
      </c>
      <c r="I24" s="360">
        <v>0.5</v>
      </c>
      <c r="J24" s="963">
        <v>1</v>
      </c>
      <c r="K24" s="360">
        <v>3.75</v>
      </c>
      <c r="L24" s="360"/>
      <c r="M24" s="360">
        <v>1.25</v>
      </c>
      <c r="N24" s="360"/>
      <c r="O24" s="361">
        <f t="shared" si="1"/>
        <v>13</v>
      </c>
      <c r="P24" s="359" t="s">
        <v>9</v>
      </c>
      <c r="Q24" s="362">
        <v>650</v>
      </c>
      <c r="R24" s="362">
        <v>45</v>
      </c>
      <c r="S24" s="362">
        <v>437</v>
      </c>
      <c r="T24" s="362">
        <v>2187</v>
      </c>
      <c r="U24" s="362">
        <v>5250</v>
      </c>
      <c r="V24" s="363">
        <v>7</v>
      </c>
      <c r="W24" s="364">
        <v>0.21</v>
      </c>
      <c r="X24" s="359">
        <v>6</v>
      </c>
      <c r="Y24" s="1158">
        <v>25</v>
      </c>
      <c r="Z24" s="1158">
        <v>15</v>
      </c>
    </row>
    <row r="25" spans="2:26">
      <c r="B25" s="1159"/>
      <c r="C25" s="1148"/>
      <c r="D25" s="1165"/>
      <c r="E25" s="358" t="s">
        <v>578</v>
      </c>
      <c r="F25" s="359">
        <v>40</v>
      </c>
      <c r="G25" s="359">
        <v>100</v>
      </c>
      <c r="H25" s="360">
        <v>2</v>
      </c>
      <c r="I25" s="360">
        <v>0.5</v>
      </c>
      <c r="J25" s="963">
        <v>2</v>
      </c>
      <c r="K25" s="360">
        <v>3.5</v>
      </c>
      <c r="L25" s="360"/>
      <c r="M25" s="360">
        <v>1.25</v>
      </c>
      <c r="N25" s="360"/>
      <c r="O25" s="361">
        <f t="shared" si="1"/>
        <v>19.5</v>
      </c>
      <c r="P25" s="359" t="s">
        <v>9</v>
      </c>
      <c r="Q25" s="362">
        <v>1200</v>
      </c>
      <c r="R25" s="362">
        <v>45</v>
      </c>
      <c r="S25" s="362">
        <v>437</v>
      </c>
      <c r="T25" s="362">
        <v>2187</v>
      </c>
      <c r="U25" s="362">
        <v>5250</v>
      </c>
      <c r="V25" s="363">
        <v>7</v>
      </c>
      <c r="W25" s="364">
        <v>0.21</v>
      </c>
      <c r="X25" s="359">
        <v>6</v>
      </c>
      <c r="Y25" s="1158"/>
      <c r="Z25" s="1158"/>
    </row>
    <row r="26" spans="2:26">
      <c r="B26" s="800"/>
      <c r="C26" s="791"/>
      <c r="D26" s="792"/>
      <c r="E26" s="792" t="s">
        <v>604</v>
      </c>
      <c r="F26" s="509">
        <v>70</v>
      </c>
      <c r="G26" s="509">
        <v>120</v>
      </c>
      <c r="H26" s="519">
        <v>2.5</v>
      </c>
      <c r="I26" s="519">
        <v>0.5</v>
      </c>
      <c r="J26" s="962">
        <v>2</v>
      </c>
      <c r="K26" s="519">
        <v>3.75</v>
      </c>
      <c r="L26" s="519"/>
      <c r="M26" s="519">
        <v>1.75</v>
      </c>
      <c r="N26" s="519"/>
      <c r="O26" s="793">
        <f t="shared" si="1"/>
        <v>22</v>
      </c>
      <c r="P26" s="509" t="s">
        <v>8</v>
      </c>
      <c r="Q26" s="794">
        <v>1000</v>
      </c>
      <c r="R26" s="794">
        <v>178</v>
      </c>
      <c r="S26" s="794">
        <v>667</v>
      </c>
      <c r="T26" s="794">
        <v>3334</v>
      </c>
      <c r="U26" s="794">
        <v>7500</v>
      </c>
      <c r="V26" s="795">
        <v>7</v>
      </c>
      <c r="W26" s="796">
        <v>0.14699999999999999</v>
      </c>
      <c r="X26" s="509">
        <v>6</v>
      </c>
      <c r="Y26" s="801"/>
      <c r="Z26" s="801"/>
    </row>
    <row r="27" spans="2:26">
      <c r="B27" s="1161" t="s">
        <v>595</v>
      </c>
      <c r="C27" s="1149" t="s">
        <v>37</v>
      </c>
      <c r="D27" s="1152" t="s">
        <v>65</v>
      </c>
      <c r="E27" s="366" t="s">
        <v>579</v>
      </c>
      <c r="F27" s="367">
        <v>50</v>
      </c>
      <c r="G27" s="367">
        <v>80</v>
      </c>
      <c r="H27" s="368">
        <v>1.8</v>
      </c>
      <c r="I27" s="368">
        <v>0.5</v>
      </c>
      <c r="J27" s="964">
        <v>2</v>
      </c>
      <c r="K27" s="368">
        <v>3.25</v>
      </c>
      <c r="L27" s="368"/>
      <c r="M27" s="368">
        <v>1</v>
      </c>
      <c r="N27" s="368">
        <v>1.5</v>
      </c>
      <c r="O27" s="369">
        <f>H27+2*(I27+J27*K27+L27+M27+N27)</f>
        <v>20.8</v>
      </c>
      <c r="P27" s="367" t="s">
        <v>9</v>
      </c>
      <c r="Q27" s="370">
        <v>950</v>
      </c>
      <c r="R27" s="370">
        <v>77</v>
      </c>
      <c r="S27" s="370">
        <v>240</v>
      </c>
      <c r="T27" s="370">
        <v>708</v>
      </c>
      <c r="U27" s="370">
        <v>2000</v>
      </c>
      <c r="V27" s="371">
        <v>5</v>
      </c>
      <c r="W27" s="372">
        <v>0.20499999999999999</v>
      </c>
      <c r="X27" s="367">
        <v>6</v>
      </c>
      <c r="Y27" s="1149">
        <v>15</v>
      </c>
      <c r="Z27" s="1149">
        <v>12</v>
      </c>
    </row>
    <row r="28" spans="2:26">
      <c r="B28" s="1161"/>
      <c r="C28" s="1150"/>
      <c r="D28" s="1152"/>
      <c r="E28" s="366" t="s">
        <v>580</v>
      </c>
      <c r="F28" s="367">
        <v>50</v>
      </c>
      <c r="G28" s="367">
        <v>80</v>
      </c>
      <c r="H28" s="368">
        <v>1.8</v>
      </c>
      <c r="I28" s="368">
        <v>0.5</v>
      </c>
      <c r="J28" s="964">
        <v>3</v>
      </c>
      <c r="K28" s="368">
        <v>3.25</v>
      </c>
      <c r="L28" s="368"/>
      <c r="M28" s="368">
        <v>1</v>
      </c>
      <c r="N28" s="368">
        <v>1.5</v>
      </c>
      <c r="O28" s="369">
        <f>H28+2*(I28+J28*K28+L28+M28+N28)</f>
        <v>27.3</v>
      </c>
      <c r="P28" s="367"/>
      <c r="Q28" s="370"/>
      <c r="R28" s="370">
        <v>77</v>
      </c>
      <c r="S28" s="370">
        <v>240</v>
      </c>
      <c r="T28" s="370">
        <v>708</v>
      </c>
      <c r="U28" s="370">
        <v>2000</v>
      </c>
      <c r="V28" s="371">
        <v>5</v>
      </c>
      <c r="W28" s="372">
        <v>0.20499999999999999</v>
      </c>
      <c r="X28" s="367">
        <v>6</v>
      </c>
      <c r="Y28" s="1150"/>
      <c r="Z28" s="1150"/>
    </row>
    <row r="29" spans="2:26">
      <c r="B29" s="1161"/>
      <c r="C29" s="1151"/>
      <c r="D29" s="1152"/>
      <c r="E29" s="366" t="s">
        <v>582</v>
      </c>
      <c r="F29" s="367">
        <v>50</v>
      </c>
      <c r="G29" s="367">
        <v>80</v>
      </c>
      <c r="H29" s="368">
        <v>1.8</v>
      </c>
      <c r="I29" s="368">
        <v>0.5</v>
      </c>
      <c r="J29" s="964">
        <v>2</v>
      </c>
      <c r="K29" s="368">
        <v>3.25</v>
      </c>
      <c r="L29" s="368">
        <v>3.5</v>
      </c>
      <c r="M29" s="368">
        <v>1</v>
      </c>
      <c r="N29" s="368">
        <v>1.5</v>
      </c>
      <c r="O29" s="369">
        <f>H29+2*(I29+J29*K29+L29+M29+N29)</f>
        <v>27.8</v>
      </c>
      <c r="P29" s="367"/>
      <c r="Q29" s="370"/>
      <c r="R29" s="370">
        <v>77</v>
      </c>
      <c r="S29" s="370">
        <v>240</v>
      </c>
      <c r="T29" s="370">
        <v>708</v>
      </c>
      <c r="U29" s="370">
        <v>2000</v>
      </c>
      <c r="V29" s="371">
        <v>5</v>
      </c>
      <c r="W29" s="372">
        <v>0.20499999999999999</v>
      </c>
      <c r="X29" s="367">
        <v>6</v>
      </c>
      <c r="Y29" s="1151"/>
      <c r="Z29" s="1151"/>
    </row>
    <row r="30" spans="2:26">
      <c r="B30" s="1161"/>
      <c r="C30" s="1149" t="s">
        <v>37</v>
      </c>
      <c r="D30" s="1152" t="s">
        <v>64</v>
      </c>
      <c r="E30" s="366" t="s">
        <v>589</v>
      </c>
      <c r="F30" s="367">
        <v>25</v>
      </c>
      <c r="G30" s="367">
        <v>60</v>
      </c>
      <c r="H30" s="368">
        <v>1.8</v>
      </c>
      <c r="I30" s="368">
        <v>0.5</v>
      </c>
      <c r="J30" s="964">
        <v>1</v>
      </c>
      <c r="K30" s="368">
        <v>3.75</v>
      </c>
      <c r="L30" s="368"/>
      <c r="M30" s="368">
        <v>1.25</v>
      </c>
      <c r="N30" s="368">
        <v>1.5</v>
      </c>
      <c r="O30" s="369">
        <f>H30+2*(I30+J30*K30+L30+M30+N30)</f>
        <v>15.8</v>
      </c>
      <c r="P30" s="367" t="s">
        <v>9</v>
      </c>
      <c r="Q30" s="370">
        <v>800</v>
      </c>
      <c r="R30" s="370">
        <v>19</v>
      </c>
      <c r="S30" s="370">
        <v>121</v>
      </c>
      <c r="T30" s="370">
        <v>204</v>
      </c>
      <c r="U30" s="370">
        <v>1150</v>
      </c>
      <c r="V30" s="371">
        <v>3.5</v>
      </c>
      <c r="W30" s="372">
        <v>0.22</v>
      </c>
      <c r="X30" s="367">
        <v>6</v>
      </c>
      <c r="Y30" s="1149">
        <v>15</v>
      </c>
      <c r="Z30" s="1149">
        <v>15</v>
      </c>
    </row>
    <row r="31" spans="2:26">
      <c r="B31" s="1161"/>
      <c r="C31" s="1151"/>
      <c r="D31" s="1152"/>
      <c r="E31" s="366" t="s">
        <v>590</v>
      </c>
      <c r="F31" s="367">
        <v>25</v>
      </c>
      <c r="G31" s="367">
        <v>60</v>
      </c>
      <c r="H31" s="368">
        <v>1.8</v>
      </c>
      <c r="I31" s="368">
        <v>0.5</v>
      </c>
      <c r="J31" s="964">
        <v>1</v>
      </c>
      <c r="K31" s="368">
        <v>2.75</v>
      </c>
      <c r="L31" s="368">
        <v>3.5</v>
      </c>
      <c r="M31" s="368">
        <v>0.5</v>
      </c>
      <c r="N31" s="368">
        <v>1.5</v>
      </c>
      <c r="O31" s="369">
        <f>H31+2*(I31+J31*K31+L31+M31+N31)</f>
        <v>19.3</v>
      </c>
      <c r="P31" s="367"/>
      <c r="Q31" s="370"/>
      <c r="R31" s="370">
        <v>19</v>
      </c>
      <c r="S31" s="370">
        <v>121</v>
      </c>
      <c r="T31" s="370">
        <v>204</v>
      </c>
      <c r="U31" s="370">
        <v>1150</v>
      </c>
      <c r="V31" s="371">
        <v>3.5</v>
      </c>
      <c r="W31" s="372">
        <v>0.22</v>
      </c>
      <c r="X31" s="367">
        <v>6</v>
      </c>
      <c r="Y31" s="1151"/>
      <c r="Z31" s="1151"/>
    </row>
    <row r="32" spans="2:26">
      <c r="B32" s="800"/>
      <c r="C32" s="802"/>
      <c r="D32" s="792"/>
      <c r="E32" s="792" t="s">
        <v>607</v>
      </c>
      <c r="F32" s="509">
        <v>50</v>
      </c>
      <c r="G32" s="509">
        <v>80</v>
      </c>
      <c r="H32" s="519">
        <v>2</v>
      </c>
      <c r="I32" s="519">
        <v>0.5</v>
      </c>
      <c r="J32" s="962">
        <v>2</v>
      </c>
      <c r="K32" s="519">
        <v>3.5</v>
      </c>
      <c r="L32" s="519"/>
      <c r="M32" s="519">
        <v>1.75</v>
      </c>
      <c r="N32" s="519">
        <v>1.5</v>
      </c>
      <c r="O32" s="793">
        <f t="shared" si="1"/>
        <v>23.5</v>
      </c>
      <c r="P32" s="509" t="s">
        <v>9</v>
      </c>
      <c r="Q32" s="794">
        <v>950</v>
      </c>
      <c r="R32" s="794">
        <v>77</v>
      </c>
      <c r="S32" s="794">
        <v>240</v>
      </c>
      <c r="T32" s="794">
        <v>708</v>
      </c>
      <c r="U32" s="794">
        <v>2000</v>
      </c>
      <c r="V32" s="795">
        <v>5</v>
      </c>
      <c r="W32" s="796">
        <v>0.20499999999999999</v>
      </c>
      <c r="X32" s="509">
        <v>6</v>
      </c>
      <c r="Y32" s="791"/>
      <c r="Z32" s="791"/>
    </row>
    <row r="33" spans="2:26">
      <c r="B33" s="1160" t="s">
        <v>594</v>
      </c>
      <c r="C33" s="1163" t="s">
        <v>586</v>
      </c>
      <c r="D33" s="1163" t="s">
        <v>65</v>
      </c>
      <c r="E33" s="374" t="s">
        <v>10</v>
      </c>
      <c r="F33" s="375">
        <v>60</v>
      </c>
      <c r="G33" s="375">
        <v>100</v>
      </c>
      <c r="H33" s="376"/>
      <c r="I33" s="376"/>
      <c r="J33" s="965">
        <v>1</v>
      </c>
      <c r="K33" s="376">
        <v>3.75</v>
      </c>
      <c r="L33" s="376"/>
      <c r="M33" s="376">
        <v>1.5</v>
      </c>
      <c r="N33" s="376"/>
      <c r="O33" s="377">
        <f t="shared" si="1"/>
        <v>10.5</v>
      </c>
      <c r="P33" s="375" t="s">
        <v>9</v>
      </c>
      <c r="Q33" s="378">
        <v>600</v>
      </c>
      <c r="R33" s="378">
        <v>118</v>
      </c>
      <c r="S33" s="378">
        <v>437</v>
      </c>
      <c r="T33" s="378">
        <v>2187</v>
      </c>
      <c r="U33" s="378">
        <v>5250</v>
      </c>
      <c r="V33" s="379">
        <v>7</v>
      </c>
      <c r="W33" s="380">
        <v>0.17</v>
      </c>
      <c r="X33" s="375">
        <v>7</v>
      </c>
      <c r="Y33" s="1155">
        <v>15</v>
      </c>
      <c r="Z33" s="1155">
        <v>12</v>
      </c>
    </row>
    <row r="34" spans="2:26">
      <c r="B34" s="1160"/>
      <c r="C34" s="1163"/>
      <c r="D34" s="1163"/>
      <c r="E34" s="374" t="s">
        <v>11</v>
      </c>
      <c r="F34" s="375">
        <v>60</v>
      </c>
      <c r="G34" s="375">
        <v>100</v>
      </c>
      <c r="H34" s="376"/>
      <c r="I34" s="376"/>
      <c r="J34" s="965">
        <v>1</v>
      </c>
      <c r="K34" s="376">
        <v>3.5</v>
      </c>
      <c r="L34" s="376"/>
      <c r="M34" s="376">
        <v>1.25</v>
      </c>
      <c r="N34" s="376"/>
      <c r="O34" s="377">
        <f t="shared" si="1"/>
        <v>9.5</v>
      </c>
      <c r="P34" s="375" t="s">
        <v>9</v>
      </c>
      <c r="Q34" s="378">
        <v>600</v>
      </c>
      <c r="R34" s="378">
        <v>118</v>
      </c>
      <c r="S34" s="378">
        <v>437</v>
      </c>
      <c r="T34" s="378">
        <v>2187</v>
      </c>
      <c r="U34" s="378">
        <v>5250</v>
      </c>
      <c r="V34" s="379">
        <v>7</v>
      </c>
      <c r="W34" s="380">
        <v>0.17</v>
      </c>
      <c r="X34" s="375">
        <v>7</v>
      </c>
      <c r="Y34" s="1156"/>
      <c r="Z34" s="1156"/>
    </row>
    <row r="35" spans="2:26">
      <c r="B35" s="800"/>
      <c r="C35" s="792"/>
      <c r="D35" s="792"/>
      <c r="E35" s="792" t="s">
        <v>611</v>
      </c>
      <c r="F35" s="509">
        <v>60</v>
      </c>
      <c r="G35" s="509">
        <v>100</v>
      </c>
      <c r="H35" s="519"/>
      <c r="I35" s="519"/>
      <c r="J35" s="962">
        <v>1</v>
      </c>
      <c r="K35" s="519">
        <v>3.75</v>
      </c>
      <c r="L35" s="519"/>
      <c r="M35" s="519">
        <v>1.5</v>
      </c>
      <c r="N35" s="519"/>
      <c r="O35" s="793">
        <f t="shared" si="1"/>
        <v>10.5</v>
      </c>
      <c r="P35" s="509" t="s">
        <v>9</v>
      </c>
      <c r="Q35" s="794">
        <v>600</v>
      </c>
      <c r="R35" s="794">
        <v>118</v>
      </c>
      <c r="S35" s="794">
        <v>437</v>
      </c>
      <c r="T35" s="794">
        <v>2187</v>
      </c>
      <c r="U35" s="794">
        <v>5250</v>
      </c>
      <c r="V35" s="795">
        <v>7</v>
      </c>
      <c r="W35" s="796">
        <v>0.17</v>
      </c>
      <c r="X35" s="509">
        <v>7</v>
      </c>
      <c r="Y35" s="791"/>
      <c r="Z35" s="791"/>
    </row>
    <row r="36" spans="2:26">
      <c r="B36" s="800"/>
      <c r="C36" s="792"/>
      <c r="D36" s="792"/>
      <c r="E36" s="792" t="s">
        <v>612</v>
      </c>
      <c r="F36" s="509">
        <v>60</v>
      </c>
      <c r="G36" s="509">
        <v>100</v>
      </c>
      <c r="H36" s="519"/>
      <c r="I36" s="519"/>
      <c r="J36" s="962">
        <v>1</v>
      </c>
      <c r="K36" s="519">
        <v>3.5</v>
      </c>
      <c r="L36" s="519"/>
      <c r="M36" s="519">
        <v>1.25</v>
      </c>
      <c r="N36" s="519"/>
      <c r="O36" s="793">
        <f t="shared" si="1"/>
        <v>9.5</v>
      </c>
      <c r="P36" s="509" t="s">
        <v>9</v>
      </c>
      <c r="Q36" s="794">
        <v>600</v>
      </c>
      <c r="R36" s="794">
        <v>118</v>
      </c>
      <c r="S36" s="794">
        <v>437</v>
      </c>
      <c r="T36" s="794">
        <v>2187</v>
      </c>
      <c r="U36" s="794">
        <v>5250</v>
      </c>
      <c r="V36" s="795">
        <v>7</v>
      </c>
      <c r="W36" s="796">
        <v>0.17</v>
      </c>
      <c r="X36" s="509">
        <v>7</v>
      </c>
      <c r="Y36" s="791"/>
      <c r="Z36" s="791"/>
    </row>
    <row r="37" spans="2:26">
      <c r="B37" s="1162" t="s">
        <v>596</v>
      </c>
      <c r="C37" s="1164" t="s">
        <v>37</v>
      </c>
      <c r="D37" s="1164" t="s">
        <v>65</v>
      </c>
      <c r="E37" s="383" t="s">
        <v>13</v>
      </c>
      <c r="F37" s="384">
        <v>40</v>
      </c>
      <c r="G37" s="384">
        <v>60</v>
      </c>
      <c r="H37" s="385"/>
      <c r="I37" s="385"/>
      <c r="J37" s="966">
        <v>1</v>
      </c>
      <c r="K37" s="385">
        <v>3</v>
      </c>
      <c r="L37" s="385"/>
      <c r="M37" s="385">
        <v>0.5</v>
      </c>
      <c r="N37" s="385">
        <v>1.5</v>
      </c>
      <c r="O37" s="386">
        <f t="shared" si="1"/>
        <v>10</v>
      </c>
      <c r="P37" s="384" t="s">
        <v>9</v>
      </c>
      <c r="Q37" s="387">
        <v>800</v>
      </c>
      <c r="R37" s="387">
        <v>51</v>
      </c>
      <c r="S37" s="387">
        <v>121</v>
      </c>
      <c r="T37" s="387">
        <v>204</v>
      </c>
      <c r="U37" s="387">
        <v>1150</v>
      </c>
      <c r="V37" s="388">
        <v>3.5</v>
      </c>
      <c r="W37" s="389">
        <v>0.21</v>
      </c>
      <c r="X37" s="384">
        <v>8</v>
      </c>
      <c r="Y37" s="1167">
        <v>15</v>
      </c>
      <c r="Z37" s="1167">
        <v>12</v>
      </c>
    </row>
    <row r="38" spans="2:26">
      <c r="B38" s="1162"/>
      <c r="C38" s="1164"/>
      <c r="D38" s="1164"/>
      <c r="E38" s="383" t="s">
        <v>591</v>
      </c>
      <c r="F38" s="384">
        <v>40</v>
      </c>
      <c r="G38" s="384">
        <v>60</v>
      </c>
      <c r="H38" s="385">
        <v>0.5</v>
      </c>
      <c r="I38" s="385"/>
      <c r="J38" s="966">
        <v>2</v>
      </c>
      <c r="K38" s="385">
        <v>3</v>
      </c>
      <c r="L38" s="385"/>
      <c r="M38" s="385">
        <v>11</v>
      </c>
      <c r="N38" s="385">
        <v>1.5</v>
      </c>
      <c r="O38" s="386">
        <f t="shared" si="1"/>
        <v>37.5</v>
      </c>
      <c r="P38" s="384"/>
      <c r="Q38" s="387"/>
      <c r="R38" s="387">
        <v>51</v>
      </c>
      <c r="S38" s="387">
        <v>121</v>
      </c>
      <c r="T38" s="387">
        <v>204</v>
      </c>
      <c r="U38" s="387">
        <v>1150</v>
      </c>
      <c r="V38" s="388">
        <v>3.5</v>
      </c>
      <c r="W38" s="389">
        <v>0.21</v>
      </c>
      <c r="X38" s="384">
        <v>8</v>
      </c>
      <c r="Y38" s="1168"/>
      <c r="Z38" s="1168"/>
    </row>
    <row r="39" spans="2:26">
      <c r="B39" s="1162"/>
      <c r="C39" s="1164"/>
      <c r="D39" s="1164"/>
      <c r="E39" s="383" t="s">
        <v>592</v>
      </c>
      <c r="F39" s="384">
        <v>40</v>
      </c>
      <c r="G39" s="384">
        <v>60</v>
      </c>
      <c r="H39" s="385">
        <v>0.5</v>
      </c>
      <c r="I39" s="385"/>
      <c r="J39" s="966">
        <v>1</v>
      </c>
      <c r="K39" s="385">
        <v>3</v>
      </c>
      <c r="L39" s="385">
        <v>3.5</v>
      </c>
      <c r="M39" s="385">
        <v>0.5</v>
      </c>
      <c r="N39" s="385">
        <v>1.5</v>
      </c>
      <c r="O39" s="386">
        <f t="shared" si="1"/>
        <v>17.5</v>
      </c>
      <c r="P39" s="384"/>
      <c r="Q39" s="387"/>
      <c r="R39" s="387">
        <v>51</v>
      </c>
      <c r="S39" s="387">
        <v>121</v>
      </c>
      <c r="T39" s="387">
        <v>204</v>
      </c>
      <c r="U39" s="387">
        <v>1150</v>
      </c>
      <c r="V39" s="388">
        <v>3.5</v>
      </c>
      <c r="W39" s="389">
        <v>0.21</v>
      </c>
      <c r="X39" s="384">
        <v>8</v>
      </c>
      <c r="Y39" s="1169"/>
      <c r="Z39" s="1169"/>
    </row>
    <row r="40" spans="2:26">
      <c r="B40" s="800"/>
      <c r="C40" s="792"/>
      <c r="D40" s="792"/>
      <c r="E40" s="792" t="s">
        <v>608</v>
      </c>
      <c r="F40" s="509">
        <v>40</v>
      </c>
      <c r="G40" s="509">
        <v>60</v>
      </c>
      <c r="H40" s="519"/>
      <c r="I40" s="519"/>
      <c r="J40" s="962">
        <v>1</v>
      </c>
      <c r="K40" s="519">
        <v>3</v>
      </c>
      <c r="L40" s="519"/>
      <c r="M40" s="519">
        <v>0.5</v>
      </c>
      <c r="N40" s="519">
        <v>1.5</v>
      </c>
      <c r="O40" s="793">
        <f t="shared" si="1"/>
        <v>10</v>
      </c>
      <c r="P40" s="509" t="s">
        <v>9</v>
      </c>
      <c r="Q40" s="794">
        <v>800</v>
      </c>
      <c r="R40" s="794">
        <v>51</v>
      </c>
      <c r="S40" s="794">
        <v>121</v>
      </c>
      <c r="T40" s="794">
        <v>204</v>
      </c>
      <c r="U40" s="794">
        <v>1150</v>
      </c>
      <c r="V40" s="795">
        <v>3.5</v>
      </c>
      <c r="W40" s="796">
        <v>0.21</v>
      </c>
      <c r="X40" s="509">
        <v>8</v>
      </c>
      <c r="Y40" s="802"/>
      <c r="Z40" s="802"/>
    </row>
    <row r="41" spans="2:26">
      <c r="B41" s="1166" t="s">
        <v>597</v>
      </c>
      <c r="C41" s="1154" t="s">
        <v>586</v>
      </c>
      <c r="D41" s="1154" t="s">
        <v>65</v>
      </c>
      <c r="E41" s="391" t="s">
        <v>15</v>
      </c>
      <c r="F41" s="392">
        <v>40</v>
      </c>
      <c r="G41" s="392">
        <v>100</v>
      </c>
      <c r="H41" s="393"/>
      <c r="I41" s="393"/>
      <c r="J41" s="967">
        <v>1</v>
      </c>
      <c r="K41" s="393">
        <v>3.5</v>
      </c>
      <c r="L41" s="393"/>
      <c r="M41" s="393">
        <v>1</v>
      </c>
      <c r="N41" s="393"/>
      <c r="O41" s="394">
        <f t="shared" si="1"/>
        <v>9</v>
      </c>
      <c r="P41" s="392" t="s">
        <v>9</v>
      </c>
      <c r="Q41" s="395">
        <v>450</v>
      </c>
      <c r="R41" s="395">
        <v>45</v>
      </c>
      <c r="S41" s="395">
        <v>437</v>
      </c>
      <c r="T41" s="395">
        <v>2187</v>
      </c>
      <c r="U41" s="395">
        <v>5250</v>
      </c>
      <c r="V41" s="396">
        <v>7</v>
      </c>
      <c r="W41" s="397">
        <v>0.21</v>
      </c>
      <c r="X41" s="392">
        <v>10</v>
      </c>
      <c r="Y41" s="1153">
        <v>12</v>
      </c>
      <c r="Z41" s="1153">
        <v>10</v>
      </c>
    </row>
    <row r="42" spans="2:26">
      <c r="B42" s="1166"/>
      <c r="C42" s="1154"/>
      <c r="D42" s="1154"/>
      <c r="E42" s="391" t="s">
        <v>16</v>
      </c>
      <c r="F42" s="392">
        <v>40</v>
      </c>
      <c r="G42" s="392">
        <v>100</v>
      </c>
      <c r="H42" s="393"/>
      <c r="I42" s="393"/>
      <c r="J42" s="967">
        <v>1</v>
      </c>
      <c r="K42" s="393">
        <v>3.25</v>
      </c>
      <c r="L42" s="393"/>
      <c r="M42" s="393">
        <v>1</v>
      </c>
      <c r="N42" s="393"/>
      <c r="O42" s="394">
        <f t="shared" si="1"/>
        <v>8.5</v>
      </c>
      <c r="P42" s="392" t="s">
        <v>9</v>
      </c>
      <c r="Q42" s="395">
        <v>450</v>
      </c>
      <c r="R42" s="395">
        <v>45</v>
      </c>
      <c r="S42" s="395">
        <v>437</v>
      </c>
      <c r="T42" s="395">
        <v>2187</v>
      </c>
      <c r="U42" s="395">
        <v>5250</v>
      </c>
      <c r="V42" s="396">
        <v>7</v>
      </c>
      <c r="W42" s="397">
        <v>0.21</v>
      </c>
      <c r="X42" s="392">
        <v>10</v>
      </c>
      <c r="Y42" s="1153"/>
      <c r="Z42" s="1153"/>
    </row>
    <row r="43" spans="2:26">
      <c r="B43" s="1166"/>
      <c r="C43" s="1154" t="s">
        <v>37</v>
      </c>
      <c r="D43" s="1154" t="s">
        <v>65</v>
      </c>
      <c r="E43" s="391" t="s">
        <v>583</v>
      </c>
      <c r="F43" s="392">
        <v>25</v>
      </c>
      <c r="G43" s="392">
        <v>60</v>
      </c>
      <c r="H43" s="393"/>
      <c r="I43" s="393"/>
      <c r="J43" s="967">
        <v>1</v>
      </c>
      <c r="K43" s="393">
        <v>2.75</v>
      </c>
      <c r="L43" s="393"/>
      <c r="M43" s="393">
        <v>0.5</v>
      </c>
      <c r="N43" s="393">
        <v>1.5</v>
      </c>
      <c r="O43" s="394">
        <f t="shared" si="1"/>
        <v>9.5</v>
      </c>
      <c r="P43" s="392" t="s">
        <v>9</v>
      </c>
      <c r="Q43" s="395">
        <v>800</v>
      </c>
      <c r="R43" s="395">
        <v>19</v>
      </c>
      <c r="S43" s="395">
        <v>121</v>
      </c>
      <c r="T43" s="395">
        <v>204</v>
      </c>
      <c r="U43" s="395">
        <v>1150</v>
      </c>
      <c r="V43" s="396">
        <v>3.5</v>
      </c>
      <c r="W43" s="397">
        <v>0.22</v>
      </c>
      <c r="X43" s="392">
        <v>10</v>
      </c>
      <c r="Y43" s="1153">
        <v>12</v>
      </c>
      <c r="Z43" s="1153">
        <v>10</v>
      </c>
    </row>
    <row r="44" spans="2:26">
      <c r="B44" s="1166"/>
      <c r="C44" s="1154"/>
      <c r="D44" s="1154"/>
      <c r="E44" s="391" t="s">
        <v>584</v>
      </c>
      <c r="F44" s="392">
        <v>25</v>
      </c>
      <c r="G44" s="392">
        <v>60</v>
      </c>
      <c r="H44" s="393"/>
      <c r="I44" s="393"/>
      <c r="J44" s="967">
        <v>1</v>
      </c>
      <c r="K44" s="393">
        <v>2.75</v>
      </c>
      <c r="L44" s="393"/>
      <c r="M44" s="393">
        <v>2</v>
      </c>
      <c r="N44" s="393">
        <v>1.5</v>
      </c>
      <c r="O44" s="394">
        <f t="shared" si="1"/>
        <v>12.5</v>
      </c>
      <c r="P44" s="392"/>
      <c r="Q44" s="395"/>
      <c r="R44" s="395">
        <v>19</v>
      </c>
      <c r="S44" s="395">
        <v>121</v>
      </c>
      <c r="T44" s="395">
        <v>204</v>
      </c>
      <c r="U44" s="395">
        <v>1150</v>
      </c>
      <c r="V44" s="396">
        <v>3.5</v>
      </c>
      <c r="W44" s="397">
        <v>0.22</v>
      </c>
      <c r="X44" s="392">
        <v>10</v>
      </c>
      <c r="Y44" s="1153"/>
      <c r="Z44" s="1153"/>
    </row>
    <row r="45" spans="2:26">
      <c r="B45" s="800"/>
      <c r="C45" s="792"/>
      <c r="D45" s="792"/>
      <c r="E45" s="792" t="s">
        <v>609</v>
      </c>
      <c r="F45" s="509">
        <v>40</v>
      </c>
      <c r="G45" s="509">
        <v>100</v>
      </c>
      <c r="H45" s="519"/>
      <c r="I45" s="519"/>
      <c r="J45" s="962">
        <v>1</v>
      </c>
      <c r="K45" s="519">
        <v>3.5</v>
      </c>
      <c r="L45" s="519"/>
      <c r="M45" s="519">
        <v>1</v>
      </c>
      <c r="N45" s="519"/>
      <c r="O45" s="793">
        <f t="shared" si="1"/>
        <v>9</v>
      </c>
      <c r="P45" s="509" t="s">
        <v>9</v>
      </c>
      <c r="Q45" s="794">
        <v>450</v>
      </c>
      <c r="R45" s="794">
        <v>45</v>
      </c>
      <c r="S45" s="794">
        <v>437</v>
      </c>
      <c r="T45" s="794">
        <v>2187</v>
      </c>
      <c r="U45" s="794">
        <v>5250</v>
      </c>
      <c r="V45" s="795">
        <v>7</v>
      </c>
      <c r="W45" s="796">
        <v>0.21</v>
      </c>
      <c r="X45" s="509">
        <v>10</v>
      </c>
      <c r="Y45" s="509"/>
      <c r="Z45" s="509"/>
    </row>
    <row r="46" spans="2:26">
      <c r="B46" s="800"/>
      <c r="C46" s="792"/>
      <c r="D46" s="792"/>
      <c r="E46" s="792" t="s">
        <v>610</v>
      </c>
      <c r="F46" s="509">
        <v>40</v>
      </c>
      <c r="G46" s="509">
        <v>100</v>
      </c>
      <c r="H46" s="519"/>
      <c r="I46" s="519"/>
      <c r="J46" s="962">
        <v>1</v>
      </c>
      <c r="K46" s="519">
        <v>3.25</v>
      </c>
      <c r="L46" s="519"/>
      <c r="M46" s="519">
        <v>1</v>
      </c>
      <c r="N46" s="519"/>
      <c r="O46" s="793">
        <f t="shared" si="1"/>
        <v>8.5</v>
      </c>
      <c r="P46" s="509" t="s">
        <v>9</v>
      </c>
      <c r="Q46" s="794">
        <v>450</v>
      </c>
      <c r="R46" s="794">
        <v>45</v>
      </c>
      <c r="S46" s="794">
        <v>437</v>
      </c>
      <c r="T46" s="794">
        <v>2187</v>
      </c>
      <c r="U46" s="794">
        <v>5250</v>
      </c>
      <c r="V46" s="795">
        <v>7</v>
      </c>
      <c r="W46" s="796">
        <v>0.21</v>
      </c>
      <c r="X46" s="509">
        <v>10</v>
      </c>
      <c r="Y46" s="509"/>
      <c r="Z46" s="509"/>
    </row>
    <row r="47" spans="2:26">
      <c r="B47" s="1160" t="s">
        <v>930</v>
      </c>
      <c r="C47" s="1163"/>
      <c r="D47" s="1163"/>
      <c r="E47" s="805" t="s">
        <v>927</v>
      </c>
      <c r="F47" s="375">
        <v>40</v>
      </c>
      <c r="G47" s="375">
        <v>100</v>
      </c>
      <c r="H47" s="376"/>
      <c r="I47" s="376">
        <v>1</v>
      </c>
      <c r="J47" s="965">
        <v>1</v>
      </c>
      <c r="K47" s="376">
        <v>3.75</v>
      </c>
      <c r="L47" s="376"/>
      <c r="M47" s="376">
        <v>1.5</v>
      </c>
      <c r="N47" s="376"/>
      <c r="O47" s="377">
        <f>I47+J47*K47+M47</f>
        <v>6.25</v>
      </c>
      <c r="P47" s="375"/>
      <c r="Q47" s="378"/>
      <c r="R47" s="378">
        <v>45</v>
      </c>
      <c r="S47" s="378">
        <v>437</v>
      </c>
      <c r="T47" s="378">
        <v>2187</v>
      </c>
      <c r="U47" s="378">
        <v>5250</v>
      </c>
      <c r="V47" s="379">
        <v>7</v>
      </c>
      <c r="W47" s="380">
        <v>0.21</v>
      </c>
      <c r="X47" s="375">
        <v>5</v>
      </c>
      <c r="Y47" s="1155"/>
      <c r="Z47" s="1155"/>
    </row>
    <row r="48" spans="2:26">
      <c r="B48" s="1160"/>
      <c r="C48" s="1163"/>
      <c r="D48" s="1163"/>
      <c r="E48" s="805" t="s">
        <v>928</v>
      </c>
      <c r="F48" s="375">
        <v>40</v>
      </c>
      <c r="G48" s="375">
        <v>100</v>
      </c>
      <c r="H48" s="376"/>
      <c r="I48" s="376">
        <v>2</v>
      </c>
      <c r="J48" s="965">
        <v>1</v>
      </c>
      <c r="K48" s="376">
        <v>4</v>
      </c>
      <c r="L48" s="376"/>
      <c r="M48" s="376">
        <v>2</v>
      </c>
      <c r="N48" s="376"/>
      <c r="O48" s="377">
        <f>I48+J48*K48+M48</f>
        <v>8</v>
      </c>
      <c r="P48" s="375"/>
      <c r="Q48" s="378"/>
      <c r="R48" s="378">
        <v>45</v>
      </c>
      <c r="S48" s="378">
        <v>437</v>
      </c>
      <c r="T48" s="378">
        <v>2187</v>
      </c>
      <c r="U48" s="378">
        <v>5250</v>
      </c>
      <c r="V48" s="379">
        <v>7</v>
      </c>
      <c r="W48" s="380">
        <v>0.21</v>
      </c>
      <c r="X48" s="375">
        <v>5</v>
      </c>
      <c r="Y48" s="1156"/>
      <c r="Z48" s="1156"/>
    </row>
  </sheetData>
  <mergeCells count="82">
    <mergeCell ref="B47:B48"/>
    <mergeCell ref="C47:C48"/>
    <mergeCell ref="D47:D48"/>
    <mergeCell ref="Y47:Y48"/>
    <mergeCell ref="Z47:Z48"/>
    <mergeCell ref="Y41:Y42"/>
    <mergeCell ref="Z41:Z42"/>
    <mergeCell ref="Y27:Y29"/>
    <mergeCell ref="Z27:Z29"/>
    <mergeCell ref="Y30:Y31"/>
    <mergeCell ref="Z30:Z31"/>
    <mergeCell ref="Z33:Z34"/>
    <mergeCell ref="Y37:Y39"/>
    <mergeCell ref="Z37:Z39"/>
    <mergeCell ref="B22:B25"/>
    <mergeCell ref="B33:B34"/>
    <mergeCell ref="B27:B31"/>
    <mergeCell ref="B37:B39"/>
    <mergeCell ref="D41:D42"/>
    <mergeCell ref="C33:C34"/>
    <mergeCell ref="C37:C39"/>
    <mergeCell ref="D22:D23"/>
    <mergeCell ref="D24:D25"/>
    <mergeCell ref="D33:D34"/>
    <mergeCell ref="D27:D29"/>
    <mergeCell ref="B41:B44"/>
    <mergeCell ref="D37:D39"/>
    <mergeCell ref="C41:C42"/>
    <mergeCell ref="C43:C44"/>
    <mergeCell ref="C22:C23"/>
    <mergeCell ref="Y43:Y44"/>
    <mergeCell ref="Z43:Z44"/>
    <mergeCell ref="D43:D44"/>
    <mergeCell ref="Y33:Y34"/>
    <mergeCell ref="Y10:Y11"/>
    <mergeCell ref="Z10:Z11"/>
    <mergeCell ref="Y22:Y23"/>
    <mergeCell ref="Z22:Z23"/>
    <mergeCell ref="Y24:Y25"/>
    <mergeCell ref="Z24:Z25"/>
    <mergeCell ref="Y15:Y16"/>
    <mergeCell ref="Z15:Z16"/>
    <mergeCell ref="Y19:Y20"/>
    <mergeCell ref="Z19:Z20"/>
    <mergeCell ref="Y13:Y14"/>
    <mergeCell ref="Z13:Z14"/>
    <mergeCell ref="B13:B14"/>
    <mergeCell ref="C4:C5"/>
    <mergeCell ref="C6:C7"/>
    <mergeCell ref="C8:C9"/>
    <mergeCell ref="C10:C11"/>
    <mergeCell ref="C13:C14"/>
    <mergeCell ref="C24:C25"/>
    <mergeCell ref="C27:C29"/>
    <mergeCell ref="C30:C31"/>
    <mergeCell ref="D30:D31"/>
    <mergeCell ref="Z4:Z5"/>
    <mergeCell ref="Y6:Y7"/>
    <mergeCell ref="Z6:Z7"/>
    <mergeCell ref="Y8:Y9"/>
    <mergeCell ref="Z8:Z9"/>
    <mergeCell ref="D4:D5"/>
    <mergeCell ref="D6:D7"/>
    <mergeCell ref="D8:D9"/>
    <mergeCell ref="Y17:Y18"/>
    <mergeCell ref="Z17:Z18"/>
    <mergeCell ref="B19:B20"/>
    <mergeCell ref="D17:D18"/>
    <mergeCell ref="B17:B18"/>
    <mergeCell ref="C17:C18"/>
    <mergeCell ref="Y4:Y5"/>
    <mergeCell ref="D10:D11"/>
    <mergeCell ref="D13:D14"/>
    <mergeCell ref="D19:D20"/>
    <mergeCell ref="C19:C20"/>
    <mergeCell ref="B15:B16"/>
    <mergeCell ref="D15:D16"/>
    <mergeCell ref="C15:C16"/>
    <mergeCell ref="B4:B5"/>
    <mergeCell ref="B6:B7"/>
    <mergeCell ref="B8:B9"/>
    <mergeCell ref="B10:B11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4"/>
  <dimension ref="C1:AG94"/>
  <sheetViews>
    <sheetView workbookViewId="0">
      <pane ySplit="17" topLeftCell="A21" activePane="bottomLeft" state="frozen"/>
      <selection pane="bottomLeft" activeCell="C1" sqref="C1:G1"/>
    </sheetView>
  </sheetViews>
  <sheetFormatPr defaultColWidth="14" defaultRowHeight="12.75"/>
  <cols>
    <col min="1" max="2" width="2.42578125" style="181" customWidth="1"/>
    <col min="3" max="16384" width="14" style="181"/>
  </cols>
  <sheetData>
    <row r="1" spans="3:20" ht="13.5" thickBot="1">
      <c r="C1" s="176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2" spans="3:20" ht="13.5" thickBot="1"/>
    <row r="3" spans="3:20" ht="13.5" thickBot="1">
      <c r="C3" s="1173" t="s">
        <v>880</v>
      </c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5"/>
    </row>
    <row r="4" spans="3:20" ht="13.5" customHeight="1" thickBot="1">
      <c r="I4" s="182"/>
      <c r="J4" s="182"/>
    </row>
    <row r="5" spans="3:20">
      <c r="C5" s="1176" t="s">
        <v>531</v>
      </c>
      <c r="D5" s="1177"/>
      <c r="E5" s="1177"/>
      <c r="F5" s="1178"/>
      <c r="G5" s="183"/>
      <c r="H5" s="1176" t="s">
        <v>532</v>
      </c>
      <c r="I5" s="1177"/>
      <c r="J5" s="1177"/>
      <c r="K5" s="1178"/>
      <c r="L5" s="183"/>
      <c r="M5" s="183"/>
      <c r="N5" s="183"/>
      <c r="O5" s="183"/>
    </row>
    <row r="6" spans="3:20">
      <c r="C6" s="272" t="s">
        <v>57</v>
      </c>
      <c r="D6" s="273" t="s">
        <v>56</v>
      </c>
      <c r="E6" s="273" t="s">
        <v>58</v>
      </c>
      <c r="F6" s="274" t="s">
        <v>54</v>
      </c>
      <c r="G6" s="184"/>
      <c r="H6" s="272" t="s">
        <v>57</v>
      </c>
      <c r="I6" s="273" t="s">
        <v>56</v>
      </c>
      <c r="J6" s="273" t="s">
        <v>58</v>
      </c>
      <c r="K6" s="281" t="s">
        <v>54</v>
      </c>
      <c r="L6" s="185"/>
      <c r="M6" s="185"/>
      <c r="N6" s="185"/>
      <c r="O6" s="185"/>
    </row>
    <row r="7" spans="3:20">
      <c r="C7" s="974">
        <v>50</v>
      </c>
      <c r="D7" s="975">
        <v>0</v>
      </c>
      <c r="E7" s="277">
        <f>0.000000416666667*C7^3-0.000125*C7^2+0.01033333333*C7+0.2</f>
        <v>0.45624999987499992</v>
      </c>
      <c r="F7" s="1000">
        <f>DA!F16</f>
        <v>48.529065879811711</v>
      </c>
      <c r="G7" s="187"/>
      <c r="H7" s="974">
        <v>120</v>
      </c>
      <c r="I7" s="276">
        <v>0</v>
      </c>
      <c r="J7" s="277">
        <f>0.0000000004874876586*H7^5-0.0000001845783968*H7^4+0.00002668256816*H7^3-0.001816109402*H7^2+0.05434660515*H7-0.1231715653</f>
        <v>0.20999999040752632</v>
      </c>
      <c r="K7" s="973">
        <f>DA!M16</f>
        <v>233.45455430653431</v>
      </c>
      <c r="L7" s="187"/>
      <c r="M7" s="188"/>
      <c r="N7" s="188"/>
      <c r="O7" s="188"/>
    </row>
    <row r="8" spans="3:20" ht="13.5" thickBot="1">
      <c r="C8" s="1009" t="s">
        <v>645</v>
      </c>
      <c r="D8" s="1010">
        <f>RCONC</f>
        <v>880</v>
      </c>
      <c r="E8" s="1011" t="s">
        <v>646</v>
      </c>
      <c r="F8" s="1012">
        <f>RCONV</f>
        <v>640</v>
      </c>
      <c r="G8" s="189"/>
      <c r="H8" s="1009" t="s">
        <v>645</v>
      </c>
      <c r="I8" s="1010">
        <f>PROF!K19</f>
        <v>5960</v>
      </c>
      <c r="J8" s="1011" t="s">
        <v>646</v>
      </c>
      <c r="K8" s="1012">
        <f>PROF!L19</f>
        <v>14630</v>
      </c>
      <c r="L8" s="190"/>
      <c r="N8" s="190"/>
      <c r="O8" s="190"/>
    </row>
    <row r="9" spans="3:20" ht="13.5" thickBot="1">
      <c r="C9" s="191"/>
      <c r="D9" s="192"/>
      <c r="E9" s="191"/>
      <c r="F9" s="192"/>
      <c r="G9" s="189"/>
      <c r="H9" s="191"/>
      <c r="I9" s="192"/>
      <c r="J9" s="191"/>
      <c r="K9" s="192"/>
      <c r="L9" s="190"/>
      <c r="N9" s="190"/>
      <c r="O9" s="190"/>
    </row>
    <row r="10" spans="3:20" ht="13.5" thickBot="1">
      <c r="C10" s="1179" t="s">
        <v>26</v>
      </c>
      <c r="D10" s="1180"/>
      <c r="E10" s="1180"/>
      <c r="F10" s="1181"/>
      <c r="G10" s="190"/>
      <c r="H10" s="1179" t="s">
        <v>26</v>
      </c>
      <c r="I10" s="1180"/>
      <c r="J10" s="1180"/>
      <c r="K10" s="1181"/>
      <c r="L10" s="190"/>
      <c r="M10" s="190"/>
      <c r="N10" s="190"/>
      <c r="O10" s="190"/>
      <c r="R10" s="193"/>
      <c r="S10" s="193"/>
      <c r="T10" s="193"/>
    </row>
    <row r="11" spans="3:20">
      <c r="C11" s="282" t="s">
        <v>55</v>
      </c>
      <c r="D11" s="283" t="s">
        <v>54</v>
      </c>
      <c r="E11" s="284" t="s">
        <v>221</v>
      </c>
      <c r="F11" s="285" t="s">
        <v>57</v>
      </c>
      <c r="G11" s="190"/>
      <c r="H11" s="282" t="s">
        <v>55</v>
      </c>
      <c r="I11" s="283" t="s">
        <v>54</v>
      </c>
      <c r="J11" s="284" t="s">
        <v>221</v>
      </c>
      <c r="K11" s="285" t="s">
        <v>57</v>
      </c>
      <c r="L11" s="190"/>
      <c r="M11" s="190"/>
      <c r="N11" s="190"/>
      <c r="O11" s="190"/>
      <c r="R11" s="193"/>
      <c r="S11" s="193"/>
      <c r="T11" s="193"/>
    </row>
    <row r="12" spans="3:20" ht="13.5" thickBot="1">
      <c r="C12" s="286">
        <f>C7</f>
        <v>50</v>
      </c>
      <c r="D12" s="265">
        <f>5.5*C12</f>
        <v>275</v>
      </c>
      <c r="E12" s="257">
        <f>F7</f>
        <v>48.529065879811711</v>
      </c>
      <c r="F12" s="288">
        <f>E12/5.5</f>
        <v>8.8234665236021286</v>
      </c>
      <c r="G12" s="190"/>
      <c r="H12" s="286">
        <f>H7</f>
        <v>120</v>
      </c>
      <c r="I12" s="265">
        <f>5.5*H12</f>
        <v>660</v>
      </c>
      <c r="J12" s="976">
        <f>K7</f>
        <v>233.45455430653431</v>
      </c>
      <c r="K12" s="288">
        <f>J12/5.5</f>
        <v>42.446282601188052</v>
      </c>
      <c r="L12" s="190"/>
      <c r="M12" s="190"/>
      <c r="N12" s="190"/>
      <c r="O12" s="190"/>
      <c r="R12" s="193"/>
      <c r="S12" s="193"/>
      <c r="T12" s="193"/>
    </row>
    <row r="13" spans="3:20" ht="13.5" thickBot="1">
      <c r="G13" s="190"/>
      <c r="L13" s="190"/>
      <c r="M13" s="190"/>
      <c r="N13" s="190"/>
      <c r="O13" s="190"/>
      <c r="R13" s="193"/>
      <c r="S13" s="193"/>
      <c r="T13" s="193"/>
    </row>
    <row r="14" spans="3:20" ht="13.5" thickBot="1">
      <c r="C14" s="1179" t="s">
        <v>27</v>
      </c>
      <c r="D14" s="1180"/>
      <c r="E14" s="1182"/>
      <c r="F14" s="1183"/>
      <c r="G14" s="183"/>
      <c r="H14" s="1179" t="s">
        <v>27</v>
      </c>
      <c r="I14" s="1180"/>
      <c r="J14" s="1180"/>
      <c r="K14" s="1181"/>
      <c r="L14" s="183"/>
      <c r="M14" s="183"/>
      <c r="N14" s="183"/>
      <c r="O14" s="183"/>
    </row>
    <row r="15" spans="3:20">
      <c r="C15" s="282" t="s">
        <v>55</v>
      </c>
      <c r="D15" s="289" t="s">
        <v>54</v>
      </c>
      <c r="E15" s="284" t="s">
        <v>221</v>
      </c>
      <c r="F15" s="285" t="s">
        <v>57</v>
      </c>
      <c r="G15" s="185"/>
      <c r="H15" s="282" t="s">
        <v>55</v>
      </c>
      <c r="I15" s="283" t="s">
        <v>54</v>
      </c>
      <c r="J15" s="284" t="s">
        <v>221</v>
      </c>
      <c r="K15" s="285" t="s">
        <v>57</v>
      </c>
      <c r="L15" s="185"/>
      <c r="M15" s="185"/>
      <c r="N15" s="185"/>
      <c r="O15" s="185"/>
    </row>
    <row r="16" spans="3:20" ht="13.5" thickBot="1">
      <c r="C16" s="286">
        <f>C7</f>
        <v>50</v>
      </c>
      <c r="D16" s="290">
        <f>2.6*C16</f>
        <v>130</v>
      </c>
      <c r="E16" s="257">
        <f>F7</f>
        <v>48.529065879811711</v>
      </c>
      <c r="F16" s="288">
        <f>E16/2.6</f>
        <v>18.665025338389118</v>
      </c>
      <c r="G16" s="196"/>
      <c r="H16" s="286">
        <f>H7</f>
        <v>120</v>
      </c>
      <c r="I16" s="265">
        <f>2.6*H16</f>
        <v>312</v>
      </c>
      <c r="J16" s="976">
        <f>K7</f>
        <v>233.45455430653431</v>
      </c>
      <c r="K16" s="288">
        <f>J16/2.6</f>
        <v>89.790213194820879</v>
      </c>
      <c r="L16" s="196"/>
      <c r="M16" s="196"/>
      <c r="N16" s="196"/>
      <c r="O16" s="196"/>
    </row>
    <row r="17" spans="3:33" ht="13.5" thickBot="1">
      <c r="G17" s="190"/>
      <c r="H17" s="190"/>
      <c r="I17" s="190"/>
      <c r="J17" s="190"/>
      <c r="K17" s="190"/>
      <c r="L17" s="190"/>
      <c r="M17" s="190"/>
      <c r="N17" s="190"/>
      <c r="O17" s="190"/>
      <c r="AB17" s="193"/>
      <c r="AC17" s="193"/>
    </row>
    <row r="18" spans="3:33" ht="13.5" thickBot="1">
      <c r="C18" s="197" t="s">
        <v>548</v>
      </c>
      <c r="D18" s="1171" t="s">
        <v>542</v>
      </c>
      <c r="E18" s="1171"/>
      <c r="F18" s="1171"/>
      <c r="G18" s="1171"/>
      <c r="H18" s="1171"/>
      <c r="I18" s="1171"/>
      <c r="J18" s="1171"/>
      <c r="K18" s="1171"/>
      <c r="L18" s="1171"/>
      <c r="M18" s="1171"/>
      <c r="N18" s="1171"/>
      <c r="O18" s="1172"/>
      <c r="AC18" s="198"/>
      <c r="AD18" s="182"/>
      <c r="AE18" s="199"/>
      <c r="AF18" s="199"/>
    </row>
    <row r="19" spans="3:33" ht="53.25" thickBot="1">
      <c r="C19" s="806" t="s">
        <v>225</v>
      </c>
      <c r="D19" s="807" t="s">
        <v>113</v>
      </c>
      <c r="E19" s="808" t="s">
        <v>342</v>
      </c>
      <c r="F19" s="808" t="s">
        <v>111</v>
      </c>
      <c r="G19" s="807" t="s">
        <v>110</v>
      </c>
      <c r="H19" s="807" t="s">
        <v>109</v>
      </c>
      <c r="I19" s="809" t="s">
        <v>112</v>
      </c>
      <c r="J19" s="809" t="s">
        <v>341</v>
      </c>
      <c r="K19" s="810" t="s">
        <v>108</v>
      </c>
      <c r="L19" s="811" t="s">
        <v>175</v>
      </c>
      <c r="M19" s="812" t="s">
        <v>291</v>
      </c>
      <c r="N19" s="811" t="s">
        <v>422</v>
      </c>
      <c r="O19" s="812" t="s">
        <v>289</v>
      </c>
      <c r="AD19" s="200"/>
    </row>
    <row r="20" spans="3:33" ht="13.5" thickBot="1">
      <c r="C20" s="201">
        <v>3000</v>
      </c>
      <c r="D20" s="202">
        <f>VLOOKUP(C18,STRADE!E4:X46,4,FALSE)/2</f>
        <v>1.3</v>
      </c>
      <c r="E20" s="203"/>
      <c r="F20" s="202">
        <f>VLOOKUP(C18,STRADE!E4:X46,5,FALSE)</f>
        <v>0.7</v>
      </c>
      <c r="G20" s="204">
        <f>VLOOKUP(C18,STRADE!E4:X46,6,FALSE)</f>
        <v>2</v>
      </c>
      <c r="H20" s="202">
        <f>VLOOKUP(C18,STRADE!E4:X46,7,FALSE)</f>
        <v>3.75</v>
      </c>
      <c r="I20" s="202">
        <f>VLOOKUP(C18,STRADE!E4:X46,9,FALSE)</f>
        <v>3</v>
      </c>
      <c r="J20" s="205"/>
      <c r="K20" s="202">
        <f>VLOOKUP(C18,STRADE!E4:X44,10,FALSE)</f>
        <v>0</v>
      </c>
      <c r="L20" s="206">
        <f>(C20+D20+F21+H20/2)*L25*PI()/180</f>
        <v>248.77433118158535</v>
      </c>
      <c r="M20" s="207">
        <f>($C$20+$D$20+$F$21+$H$20/2)*M25*PI()/180</f>
        <v>346.1839606270533</v>
      </c>
      <c r="N20" s="208">
        <f>(C20-D20-F21-H20*G20+H20/2)*N25*PI()/180</f>
        <v>341.66405469913275</v>
      </c>
      <c r="O20" s="209">
        <f>($C$20-$D$20-$F$21-$H$20/2)*O25*PI()/180</f>
        <v>361.60853247235684</v>
      </c>
      <c r="Q20" s="1184" t="s">
        <v>226</v>
      </c>
      <c r="R20" s="1185"/>
      <c r="S20" s="1185"/>
      <c r="T20" s="1186"/>
      <c r="AD20" s="200"/>
      <c r="AE20" s="182"/>
      <c r="AF20" s="199"/>
      <c r="AG20" s="199"/>
    </row>
    <row r="21" spans="3:33" ht="13.5" thickBot="1">
      <c r="C21" s="979"/>
      <c r="D21" s="980"/>
      <c r="E21" s="980"/>
      <c r="F21" s="210">
        <f>F20+E20</f>
        <v>0.7</v>
      </c>
      <c r="G21" s="980"/>
      <c r="H21" s="980"/>
      <c r="I21" s="210">
        <f>I20+J20</f>
        <v>3</v>
      </c>
      <c r="J21" s="980"/>
      <c r="K21" s="825" t="s">
        <v>613</v>
      </c>
      <c r="L21" s="211">
        <f>(F7/2)^2/(2*(H20/2+F20))-(H20/2+F20+D20)</f>
        <v>110.44879782364588</v>
      </c>
      <c r="M21" s="212"/>
      <c r="N21" s="213">
        <f>(F7/2)^2/(2*(H20/2+I20+K20))+(K20+I20+G20*H20+F20+D20)</f>
        <v>72.886416286336029</v>
      </c>
      <c r="O21" s="212"/>
      <c r="Q21" s="214" t="s">
        <v>12</v>
      </c>
      <c r="R21" s="215" t="s">
        <v>229</v>
      </c>
      <c r="S21" s="215" t="s">
        <v>232</v>
      </c>
      <c r="T21" s="216" t="s">
        <v>231</v>
      </c>
      <c r="AC21" s="200"/>
      <c r="AD21" s="182"/>
    </row>
    <row r="22" spans="3:33" ht="13.5" thickBot="1">
      <c r="C22" s="979"/>
      <c r="D22" s="980"/>
      <c r="E22" s="980"/>
      <c r="F22" s="980"/>
      <c r="G22" s="980"/>
      <c r="H22" s="980"/>
      <c r="I22" s="980"/>
      <c r="J22" s="980"/>
      <c r="K22" s="819" t="s">
        <v>300</v>
      </c>
      <c r="L22" s="217">
        <f>L29-(L27*COS(L30/2))</f>
        <v>-2.4769991914813545</v>
      </c>
      <c r="M22" s="218">
        <f>M29-(M28*SIN(M32))</f>
        <v>-1.87710866407906</v>
      </c>
      <c r="N22" s="219">
        <f>N29-(N27*COS(N30/2))</f>
        <v>-4.7766225685745667</v>
      </c>
      <c r="O22" s="218">
        <f>O29-(O28*SIN(O32))</f>
        <v>-2.3036063248159735</v>
      </c>
      <c r="Q22" s="220">
        <f>E20</f>
        <v>0</v>
      </c>
      <c r="R22" s="221">
        <f>C20-Q22</f>
        <v>3000</v>
      </c>
      <c r="S22" s="221">
        <f>(24*Q22*R22^3)^0.25</f>
        <v>0</v>
      </c>
      <c r="T22" s="222">
        <f>S22^2/R22</f>
        <v>0</v>
      </c>
      <c r="AC22" s="200"/>
      <c r="AD22" s="182"/>
    </row>
    <row r="23" spans="3:33" ht="13.5" thickBot="1">
      <c r="C23" s="979"/>
      <c r="D23" s="980"/>
      <c r="E23" s="980"/>
      <c r="F23" s="980"/>
      <c r="G23" s="980"/>
      <c r="H23" s="980"/>
      <c r="I23" s="980"/>
      <c r="J23" s="980"/>
      <c r="K23" s="996" t="s">
        <v>299</v>
      </c>
      <c r="L23" s="997">
        <f>-0.00000198645581*D7*D7*L20*L20-0.00000056315525*D7*L20*L20*L20-0.000000099436*L20*L20*L20*L20+0.0056721194*D7*D7*D7+0.000849216905*D7*D7*L20+0.000320998194*D7*L20*L20+0.00007632948*L20*L20*L20-0.087048673*D7*D7-0.049664367*D7*L20-0.02163239*L20*L20+2.86915248*D7+3.07305788*L20-72.37</f>
        <v>147.66012045769605</v>
      </c>
      <c r="M23" s="998">
        <f>M20/2.6</f>
        <v>133.14767716425126</v>
      </c>
      <c r="N23" s="999">
        <f>-0.00000198645581*D7*D7*N20*N20-0.00000056315525*D7*N20*N20*N20-0.000000099436*N20*N20*N20*N20+0.0056721194*D7*D7*D7+0.000849216905*D7*D7*N20+0.000320998194*D7*N20*N20+0.00007632948*N20*N20*N20-0.087048673*D7*D7-0.049664367*D7*N20-0.02163239*N20*N20+2.86915248*D7+3.07305788*N20-72.37</f>
        <v>141.65534452476902</v>
      </c>
      <c r="O23" s="998">
        <f>O20/2.6</f>
        <v>139.08020479706033</v>
      </c>
      <c r="AC23" s="200"/>
      <c r="AD23" s="182"/>
    </row>
    <row r="24" spans="3:33" s="190" customFormat="1" ht="13.5" thickBot="1">
      <c r="C24" s="979"/>
      <c r="D24" s="980"/>
      <c r="E24" s="980"/>
      <c r="F24" s="980"/>
      <c r="G24" s="980"/>
      <c r="H24" s="980"/>
      <c r="I24" s="982"/>
      <c r="J24" s="980"/>
      <c r="K24" s="820" t="s">
        <v>298</v>
      </c>
      <c r="L24" s="224">
        <f>2*SQRT((C20+D20+F21+H20/2)^2-(C20+D20)^2)</f>
        <v>248.70324183652016</v>
      </c>
      <c r="M24" s="212">
        <f>SQRT((C20+D20+F21+H20/2)^2-(C20+D20)^2)+SQRT((C20+D20+F21+G20*H20)^2-(C20+D20)^2)</f>
        <v>346.36189095097421</v>
      </c>
      <c r="N24" s="225">
        <f>2*SQRT((C20-D20-F21-G20*H20+H20/2)^2-(C20-D20-F21-G20*H20-I21-K20)^2)</f>
        <v>341.47849493050069</v>
      </c>
      <c r="O24" s="212">
        <f>SQRT((C20-D20-F21-G20*H20)^2-(C20-D20-F21-G20*H20-I21-K20)^2)+SQRT((C20-D20-F21-H20/2)^2-(C20-D20-F21-G20*H20-I21-K20)^2)</f>
        <v>361.09351255682293</v>
      </c>
      <c r="Q24" s="1187" t="s">
        <v>230</v>
      </c>
      <c r="R24" s="1188"/>
      <c r="S24" s="1188"/>
      <c r="T24" s="1188"/>
      <c r="U24" s="1188"/>
      <c r="V24" s="1189"/>
      <c r="AC24" s="226"/>
      <c r="AD24" s="227"/>
    </row>
    <row r="25" spans="3:33" s="190" customFormat="1">
      <c r="C25" s="228">
        <f>VLOOKUP(C18,STRADE!E4:X44,14,FALSE)</f>
        <v>339</v>
      </c>
      <c r="D25" s="229" t="s">
        <v>552</v>
      </c>
      <c r="E25" s="980"/>
      <c r="F25" s="980"/>
      <c r="G25" s="980"/>
      <c r="H25" s="980"/>
      <c r="I25" s="982"/>
      <c r="J25" s="980"/>
      <c r="K25" s="821" t="s">
        <v>189</v>
      </c>
      <c r="L25" s="230">
        <f>2*(ACOS((L29)/(L27))*180/PI())</f>
        <v>4.7451106413864208</v>
      </c>
      <c r="M25" s="231">
        <f>(ACOS((C20+D20)/(C20+D20+F21+H20/2))*180/PI())+(ACOS((C20+D20)/(C20+D20+F21+G20*H20))*180/PI())</f>
        <v>6.6030976252517881</v>
      </c>
      <c r="N25" s="232">
        <f>2*(ACOS((N29)/(N27))*180/PI())</f>
        <v>6.5419301877562832</v>
      </c>
      <c r="O25" s="231">
        <f>(ACOS((C20-D20-F21-G20*H20-I21-K20)/(C20-D20-F21-G20*H20))*180/PI())+(ACOS((C20-D20-F21-G20*H20-I21-K20)/(C20-D20-F21-H20/2))*180/PI())</f>
        <v>6.9151463128492381</v>
      </c>
      <c r="Q25" s="214" t="s">
        <v>12</v>
      </c>
      <c r="R25" s="215" t="s">
        <v>229</v>
      </c>
      <c r="S25" s="215" t="s">
        <v>227</v>
      </c>
      <c r="T25" s="215" t="s">
        <v>228</v>
      </c>
      <c r="U25" s="215" t="s">
        <v>228</v>
      </c>
      <c r="V25" s="216" t="s">
        <v>227</v>
      </c>
      <c r="AC25" s="226"/>
      <c r="AD25" s="227"/>
    </row>
    <row r="26" spans="3:33" s="190" customFormat="1" ht="13.5" thickBot="1">
      <c r="C26" s="233">
        <f>VLOOKUP(C18,STRADE!E4:X44,15,FALSE)</f>
        <v>964</v>
      </c>
      <c r="D26" s="234" t="s">
        <v>436</v>
      </c>
      <c r="E26" s="980"/>
      <c r="F26" s="980"/>
      <c r="G26" s="980"/>
      <c r="H26" s="980"/>
      <c r="I26" s="982"/>
      <c r="J26" s="980"/>
      <c r="K26" s="822" t="s">
        <v>364</v>
      </c>
      <c r="L26" s="235">
        <f>$F$7</f>
        <v>48.529065879811711</v>
      </c>
      <c r="M26" s="236">
        <f>$D$16</f>
        <v>130</v>
      </c>
      <c r="N26" s="237">
        <f>$F$7</f>
        <v>48.529065879811711</v>
      </c>
      <c r="O26" s="236">
        <f>$D$16</f>
        <v>130</v>
      </c>
      <c r="Q26" s="220">
        <f>E20</f>
        <v>0</v>
      </c>
      <c r="R26" s="221">
        <f>C20+Q26</f>
        <v>3000</v>
      </c>
      <c r="S26" s="238">
        <v>5000</v>
      </c>
      <c r="T26" s="221">
        <f>2*SQRT(S26^2-(S26-Q26/2)^2)</f>
        <v>0</v>
      </c>
      <c r="U26" s="238">
        <v>340</v>
      </c>
      <c r="V26" s="222" t="e">
        <f>(U26^2+Q26^2)/4/Q26</f>
        <v>#DIV/0!</v>
      </c>
      <c r="AC26" s="226"/>
      <c r="AD26" s="227"/>
    </row>
    <row r="27" spans="3:33" s="190" customFormat="1">
      <c r="C27" s="233">
        <f>VLOOKUP(C18,STRADE!E4:X44,16,FALSE)</f>
        <v>4820</v>
      </c>
      <c r="D27" s="234" t="s">
        <v>553</v>
      </c>
      <c r="E27" s="980"/>
      <c r="F27" s="980"/>
      <c r="G27" s="980"/>
      <c r="H27" s="980"/>
      <c r="I27" s="982"/>
      <c r="J27" s="983"/>
      <c r="K27" s="823" t="s">
        <v>292</v>
      </c>
      <c r="L27" s="240">
        <f>$C$20+$D$20+$F$21+$H$20/2</f>
        <v>3003.875</v>
      </c>
      <c r="M27" s="241">
        <f>$C$20+$D$20+$F$21+$H$20/2</f>
        <v>3003.875</v>
      </c>
      <c r="N27" s="242">
        <f>$C$20-$D$20-$F$21-$H$20*G20+$H$20/2</f>
        <v>2992.375</v>
      </c>
      <c r="O27" s="241">
        <f>$C$20-$D$20-$F$21-$H$20/2</f>
        <v>2996.125</v>
      </c>
      <c r="AC27" s="226"/>
      <c r="AD27" s="227"/>
    </row>
    <row r="28" spans="3:33" s="190" customFormat="1">
      <c r="C28" s="233">
        <f>VLOOKUP(C18,STRADE!E4:X44,17,FALSE)</f>
        <v>10250</v>
      </c>
      <c r="D28" s="234" t="s">
        <v>562</v>
      </c>
      <c r="E28" s="980"/>
      <c r="F28" s="980"/>
      <c r="G28" s="980"/>
      <c r="H28" s="980"/>
      <c r="I28" s="982"/>
      <c r="J28" s="983"/>
      <c r="K28" s="823" t="s">
        <v>293</v>
      </c>
      <c r="L28" s="240"/>
      <c r="M28" s="241">
        <f>$C$20+$D$20+$F$21+$H$20*$G$20</f>
        <v>3009.5</v>
      </c>
      <c r="N28" s="242"/>
      <c r="O28" s="241">
        <f>$C$20-$D$20-$F$21-$H$20*$G$20</f>
        <v>2990.5</v>
      </c>
      <c r="Q28" s="181" t="s">
        <v>621</v>
      </c>
      <c r="R28" s="181"/>
      <c r="S28" s="181"/>
      <c r="AC28" s="226"/>
      <c r="AD28" s="227"/>
    </row>
    <row r="29" spans="3:33" s="190" customFormat="1">
      <c r="C29" s="243">
        <f>VLOOKUP(C18,STRADE!E4:X44,2,FALSE)</f>
        <v>90</v>
      </c>
      <c r="D29" s="234" t="s">
        <v>63</v>
      </c>
      <c r="E29" s="980"/>
      <c r="F29" s="980"/>
      <c r="G29" s="980"/>
      <c r="H29" s="980"/>
      <c r="I29" s="982"/>
      <c r="J29" s="983"/>
      <c r="K29" s="823" t="s">
        <v>294</v>
      </c>
      <c r="L29" s="240">
        <f>$C$20+$D$20</f>
        <v>3001.3</v>
      </c>
      <c r="M29" s="241">
        <f>$C$20+$D$20</f>
        <v>3001.3</v>
      </c>
      <c r="N29" s="242">
        <f>$C$20-$D$20-$F$21-$H$20*$G$20-$I$21-$K$20</f>
        <v>2987.5</v>
      </c>
      <c r="O29" s="241">
        <f>$C$20-$D$20-$F$21-$H$20*$G$20-$I$21-$K$20</f>
        <v>2987.5</v>
      </c>
      <c r="Q29" s="181" t="s">
        <v>357</v>
      </c>
      <c r="R29" s="181">
        <f>3.75/2+0.7</f>
        <v>2.5750000000000002</v>
      </c>
      <c r="S29" s="181" t="s">
        <v>280</v>
      </c>
      <c r="AC29" s="226"/>
      <c r="AD29" s="227"/>
    </row>
    <row r="30" spans="3:33" s="190" customFormat="1">
      <c r="C30" s="243">
        <f>VLOOKUP(C18,STRADE!E4:X44,3,FALSE)</f>
        <v>140</v>
      </c>
      <c r="D30" s="234" t="s">
        <v>137</v>
      </c>
      <c r="E30" s="980"/>
      <c r="F30" s="980"/>
      <c r="G30" s="980"/>
      <c r="H30" s="980"/>
      <c r="I30" s="982"/>
      <c r="J30" s="983"/>
      <c r="K30" s="823" t="s">
        <v>295</v>
      </c>
      <c r="L30" s="244">
        <f>L26/L27</f>
        <v>1.6155487788210798E-2</v>
      </c>
      <c r="M30" s="245">
        <f>M26/M27</f>
        <v>4.3277433315301067E-2</v>
      </c>
      <c r="N30" s="246">
        <f>N26/N27</f>
        <v>1.6217574962968113E-2</v>
      </c>
      <c r="O30" s="245">
        <f>O26/O27</f>
        <v>4.3389377946514249E-2</v>
      </c>
      <c r="Q30" s="181" t="s">
        <v>51</v>
      </c>
      <c r="R30" s="181">
        <v>175</v>
      </c>
      <c r="S30" s="181" t="s">
        <v>622</v>
      </c>
      <c r="AC30" s="226"/>
      <c r="AD30" s="227"/>
    </row>
    <row r="31" spans="3:33" s="190" customFormat="1">
      <c r="C31" s="243">
        <f>VLOOKUP(C18,STRADE!E4:X44,18,FALSE)</f>
        <v>7</v>
      </c>
      <c r="D31" s="234" t="s">
        <v>602</v>
      </c>
      <c r="E31" s="980"/>
      <c r="F31" s="980"/>
      <c r="G31" s="980"/>
      <c r="H31" s="980"/>
      <c r="I31" s="982"/>
      <c r="J31" s="983"/>
      <c r="K31" s="823" t="s">
        <v>244</v>
      </c>
      <c r="L31" s="244"/>
      <c r="M31" s="241">
        <f>SQRT(M27^2+M28^2-2*M27*M28*COS(M30))</f>
        <v>130.23304018265941</v>
      </c>
      <c r="N31" s="246"/>
      <c r="O31" s="245">
        <f>SQRT(O27^2+O28^2-2*O27*O28*COS(O30))</f>
        <v>129.98948382157431</v>
      </c>
      <c r="Q31" s="181" t="s">
        <v>180</v>
      </c>
      <c r="R31" s="181" t="s">
        <v>620</v>
      </c>
      <c r="S31" s="181"/>
      <c r="AC31" s="226"/>
      <c r="AD31" s="227"/>
    </row>
    <row r="32" spans="3:33" s="190" customFormat="1" ht="13.5" thickBot="1">
      <c r="C32" s="247">
        <f>VLOOKUP(C18,STRADE!E4:X44,20,FALSE)</f>
        <v>5</v>
      </c>
      <c r="D32" s="248" t="s">
        <v>601</v>
      </c>
      <c r="E32" s="981"/>
      <c r="F32" s="981"/>
      <c r="G32" s="981"/>
      <c r="H32" s="981"/>
      <c r="I32" s="984"/>
      <c r="J32" s="985"/>
      <c r="K32" s="824" t="s">
        <v>296</v>
      </c>
      <c r="L32" s="249"/>
      <c r="M32" s="250">
        <f>ACOS((M28^2+M31^2-M27^2)/(2*M28*M31))</f>
        <v>1.5059624861386147</v>
      </c>
      <c r="N32" s="251"/>
      <c r="O32" s="250">
        <f>ACOS((O28^2+O31^2-O27^2)/(2*O28*O31))</f>
        <v>1.5923776928757465</v>
      </c>
      <c r="Q32" s="181">
        <v>1486.2210707356601</v>
      </c>
      <c r="R32" s="181">
        <f>$R$29*Q32^3-($R$30/2)^2/2*Q32^2+($R$30/2)^4/24</f>
        <v>6.3562765717506409E-7</v>
      </c>
      <c r="S32" s="193"/>
      <c r="AC32" s="226"/>
      <c r="AD32" s="227"/>
    </row>
    <row r="33" spans="3:33" s="190" customFormat="1" ht="13.5" thickBot="1">
      <c r="I33" s="223"/>
      <c r="J33" s="239"/>
      <c r="AC33" s="226"/>
      <c r="AD33" s="227"/>
    </row>
    <row r="34" spans="3:33" ht="13.5" thickBot="1">
      <c r="C34" s="197" t="s">
        <v>607</v>
      </c>
      <c r="D34" s="1171" t="s">
        <v>541</v>
      </c>
      <c r="E34" s="1171"/>
      <c r="F34" s="1171"/>
      <c r="G34" s="1171"/>
      <c r="H34" s="1171"/>
      <c r="I34" s="1171"/>
      <c r="J34" s="1171"/>
      <c r="K34" s="1171"/>
      <c r="L34" s="1171"/>
      <c r="M34" s="1171"/>
      <c r="N34" s="1171"/>
      <c r="O34" s="1172"/>
      <c r="AC34" s="198"/>
      <c r="AD34" s="182"/>
      <c r="AE34" s="199"/>
      <c r="AF34" s="199"/>
    </row>
    <row r="35" spans="3:33" ht="53.25" thickBot="1">
      <c r="C35" s="806" t="s">
        <v>225</v>
      </c>
      <c r="D35" s="807" t="s">
        <v>113</v>
      </c>
      <c r="E35" s="808" t="s">
        <v>342</v>
      </c>
      <c r="F35" s="808" t="s">
        <v>111</v>
      </c>
      <c r="G35" s="807" t="s">
        <v>110</v>
      </c>
      <c r="H35" s="807" t="s">
        <v>109</v>
      </c>
      <c r="I35" s="809" t="s">
        <v>112</v>
      </c>
      <c r="J35" s="809" t="s">
        <v>341</v>
      </c>
      <c r="K35" s="810" t="s">
        <v>108</v>
      </c>
      <c r="L35" s="811" t="s">
        <v>175</v>
      </c>
      <c r="M35" s="812" t="s">
        <v>291</v>
      </c>
      <c r="N35" s="811" t="s">
        <v>422</v>
      </c>
      <c r="O35" s="812" t="s">
        <v>289</v>
      </c>
      <c r="AD35" s="200"/>
    </row>
    <row r="36" spans="3:33" ht="13.5" thickBot="1">
      <c r="C36" s="252">
        <v>500</v>
      </c>
      <c r="D36" s="202">
        <f>VLOOKUP(C34,STRADE!E4:X46,4,FALSE)/2</f>
        <v>1</v>
      </c>
      <c r="E36" s="203"/>
      <c r="F36" s="202">
        <f>VLOOKUP(C34,STRADE!E4:X46,5,FALSE)</f>
        <v>0.5</v>
      </c>
      <c r="G36" s="204">
        <f>VLOOKUP(C34,STRADE!E4:X46,6,FALSE)</f>
        <v>2</v>
      </c>
      <c r="H36" s="202">
        <f>VLOOKUP(C34,STRADE!E4:X46,7,FALSE)</f>
        <v>3.5</v>
      </c>
      <c r="I36" s="202">
        <f>VLOOKUP(C34,STRADE!E4:X46,9,FALSE)</f>
        <v>1.75</v>
      </c>
      <c r="J36" s="205"/>
      <c r="K36" s="202">
        <f>VLOOKUP(C34,STRADE!E4:X44,10,FALSE)</f>
        <v>1.5</v>
      </c>
      <c r="L36" s="206">
        <f>($C$36+$D$36+$F$37+$H$36/2)*L41*PI()/180</f>
        <v>95.211648758298949</v>
      </c>
      <c r="M36" s="207">
        <f>($C$36+$D$36+$F$37+$H$36/2)*M41*PI()/180</f>
        <v>134.14628000103036</v>
      </c>
      <c r="N36" s="208">
        <f>($C$36-$D$36-$F$37-$H$36*$G$36+$H$36/2)*N41*PI()/180</f>
        <v>140.58244461273915</v>
      </c>
      <c r="O36" s="209">
        <f>($C$36-$D$36-$F$37-$H$36/2)*O41*PI()/180</f>
        <v>149.18425547231149</v>
      </c>
      <c r="Q36" s="1184" t="s">
        <v>226</v>
      </c>
      <c r="R36" s="1185"/>
      <c r="S36" s="1185"/>
      <c r="T36" s="1186"/>
      <c r="AD36" s="200"/>
      <c r="AE36" s="182"/>
      <c r="AF36" s="199"/>
      <c r="AG36" s="199"/>
    </row>
    <row r="37" spans="3:33" ht="13.5" thickBot="1">
      <c r="C37" s="979"/>
      <c r="D37" s="980"/>
      <c r="E37" s="980"/>
      <c r="F37" s="210">
        <f>F36+E36</f>
        <v>0.5</v>
      </c>
      <c r="G37" s="980"/>
      <c r="H37" s="980"/>
      <c r="I37" s="210">
        <f>I36+J36</f>
        <v>1.75</v>
      </c>
      <c r="J37" s="980"/>
      <c r="K37" s="825" t="s">
        <v>613</v>
      </c>
      <c r="L37" s="211">
        <f>(K7/2)^2/(2*(H36/2+F36))-(H36/2+F36+D36)</f>
        <v>3024.5849403590319</v>
      </c>
      <c r="M37" s="253"/>
      <c r="N37" s="213">
        <f>(K7/2)^2/(2*(H36/2+I36+K36))+(I36+G36*H36+F36+D36+K36)</f>
        <v>1374.2757231615644</v>
      </c>
      <c r="O37" s="212"/>
      <c r="Q37" s="214" t="s">
        <v>12</v>
      </c>
      <c r="R37" s="215" t="s">
        <v>229</v>
      </c>
      <c r="S37" s="215" t="s">
        <v>232</v>
      </c>
      <c r="T37" s="216" t="s">
        <v>231</v>
      </c>
      <c r="AC37" s="200"/>
      <c r="AD37" s="182"/>
    </row>
    <row r="38" spans="3:33" ht="13.5" thickBot="1">
      <c r="C38" s="979"/>
      <c r="D38" s="980"/>
      <c r="E38" s="980"/>
      <c r="F38" s="980"/>
      <c r="G38" s="980"/>
      <c r="H38" s="980"/>
      <c r="I38" s="980"/>
      <c r="J38" s="980"/>
      <c r="K38" s="819" t="s">
        <v>300</v>
      </c>
      <c r="L38" s="217">
        <f>L45-(L43*COS(L46/2))</f>
        <v>11.226682388926861</v>
      </c>
      <c r="M38" s="218">
        <f>M45-(M44*SIN(M48))</f>
        <v>19.312130183259683</v>
      </c>
      <c r="N38" s="219">
        <f>N45-(N43*COS(N46/2))</f>
        <v>8.7473775864912113</v>
      </c>
      <c r="O38" s="218">
        <f>O45-(O44*SIN(O48))</f>
        <v>18.367298898130741</v>
      </c>
      <c r="Q38" s="220">
        <f>E36</f>
        <v>0</v>
      </c>
      <c r="R38" s="221">
        <f>C36-Q38</f>
        <v>500</v>
      </c>
      <c r="S38" s="221">
        <f>(24*Q38*R38^3)^0.25</f>
        <v>0</v>
      </c>
      <c r="T38" s="222">
        <f>S38^2/R38</f>
        <v>0</v>
      </c>
      <c r="AC38" s="200"/>
      <c r="AD38" s="182"/>
    </row>
    <row r="39" spans="3:33" ht="13.5" thickBot="1">
      <c r="C39" s="979"/>
      <c r="D39" s="980"/>
      <c r="E39" s="980"/>
      <c r="F39" s="980"/>
      <c r="G39" s="980"/>
      <c r="H39" s="980"/>
      <c r="I39" s="980"/>
      <c r="J39" s="980"/>
      <c r="K39" s="996" t="s">
        <v>299</v>
      </c>
      <c r="L39" s="997">
        <f>-0.00000198645581*I7*I7*L36*L36-0.00000056315525*I7*L36*L36*L36-0.000000099436*L36*L36*L36*L36+0.0056721194*I7*I7*I7+0.000849216905*I7*I7*L36+0.000320998194*I7*L36*L36+0.00007632948*L36*L36*L36-0.087048673*I7*I7-0.049664367*I7*L36-0.02163239*L36*L36+2.86915248*I7+3.07305788*L36-72.37</f>
        <v>81.827529037059236</v>
      </c>
      <c r="M39" s="998">
        <f>M36/2.6</f>
        <v>51.594723077319365</v>
      </c>
      <c r="N39" s="999">
        <f>-0.00000198645581*I7*I7*N36*N36-0.00000056315525*I7*N36*N36*N36-0.000000099436*N36*N36*N36*N36+0.0056721194*I7*I7*I7+0.000849216905*I7*I7*N36+0.000320998194*I7*N36*N36+0.00007632948*N36*N36*N36-0.087048673*I7*I7-0.049664367*I7*N36-0.02163239*N36*N36+2.86915248*I7+3.07305788*N36-72.37</f>
        <v>105.35199808685019</v>
      </c>
      <c r="O39" s="998">
        <f>O36/2.6</f>
        <v>57.378559797042882</v>
      </c>
      <c r="AC39" s="200"/>
      <c r="AD39" s="182"/>
    </row>
    <row r="40" spans="3:33" s="190" customFormat="1" ht="13.5" thickBot="1">
      <c r="C40" s="979"/>
      <c r="D40" s="980"/>
      <c r="E40" s="980"/>
      <c r="F40" s="980"/>
      <c r="G40" s="980"/>
      <c r="H40" s="980"/>
      <c r="I40" s="982"/>
      <c r="J40" s="980"/>
      <c r="K40" s="820" t="s">
        <v>298</v>
      </c>
      <c r="L40" s="224">
        <f>2*SQRT((C36+D36+F37+H36/2)^2-(C36+D36)^2)</f>
        <v>95.069711264944942</v>
      </c>
      <c r="M40" s="212">
        <f>SQRT((C36+D36+F37+H36/2)^2-(C36+D36)^2)+SQRT((C36+D36+F37+G36*H36)^2-(C36+D36)^2)</f>
        <v>134.54778570611154</v>
      </c>
      <c r="N40" s="225">
        <f>2*SQRT((C36-D36-F37-G36*H36+H36/2)^2-(C36-D36-F37-G36*H36-I37-K36)^2)</f>
        <v>140.10710188994705</v>
      </c>
      <c r="O40" s="212">
        <f>SQRT((C36-D36-F37-G36*H36)^2-(C36-D36-F37-G36*H36-I37-K36)^2)+SQRT((C36-D36-F37-H36/2)^2-(C36-D36-F37-G36*H36-I37-K36)^2)</f>
        <v>147.92997144454915</v>
      </c>
      <c r="Q40" s="1187" t="s">
        <v>230</v>
      </c>
      <c r="R40" s="1188"/>
      <c r="S40" s="1188"/>
      <c r="T40" s="1188"/>
      <c r="U40" s="1188"/>
      <c r="V40" s="1189"/>
      <c r="AC40" s="226"/>
      <c r="AD40" s="227"/>
    </row>
    <row r="41" spans="3:33" s="190" customFormat="1">
      <c r="C41" s="228">
        <f>VLOOKUP(C34,STRADE!E4:X44,14,FALSE)</f>
        <v>77</v>
      </c>
      <c r="D41" s="229" t="s">
        <v>552</v>
      </c>
      <c r="E41" s="980"/>
      <c r="F41" s="980"/>
      <c r="G41" s="980"/>
      <c r="H41" s="980"/>
      <c r="I41" s="982"/>
      <c r="J41" s="980"/>
      <c r="K41" s="821" t="s">
        <v>189</v>
      </c>
      <c r="L41" s="230">
        <f>2*(ACOS((L45)/(L43))*180/PI())</f>
        <v>10.839991325052232</v>
      </c>
      <c r="M41" s="231">
        <f>(ACOS((C36+D36)/(C36+D36+F37+H36/2))*180/PI())+(ACOS((C36+D36)/(C36+D36+F37+G36*H36))*180/PI())</f>
        <v>15.272758433063569</v>
      </c>
      <c r="N41" s="232">
        <f>2*(ACOS((N45)/(N43))*180/PI())</f>
        <v>16.330016725679901</v>
      </c>
      <c r="O41" s="231">
        <f>(ACOS((C36-D36-F37-G36*H36-I37-K36)/(C36-D36-F37-G36*H36))*180/PI())+(ACOS((C36-D36-F37-G36*H36-I37-K36)/(C36-D36-F37-H36/2))*180/PI())</f>
        <v>17.207102583522705</v>
      </c>
      <c r="Q41" s="214" t="s">
        <v>12</v>
      </c>
      <c r="R41" s="215" t="s">
        <v>229</v>
      </c>
      <c r="S41" s="215" t="s">
        <v>227</v>
      </c>
      <c r="T41" s="215" t="s">
        <v>228</v>
      </c>
      <c r="U41" s="215" t="s">
        <v>228</v>
      </c>
      <c r="V41" s="216" t="s">
        <v>227</v>
      </c>
      <c r="AC41" s="226"/>
      <c r="AD41" s="227"/>
    </row>
    <row r="42" spans="3:33" s="190" customFormat="1" ht="13.5" thickBot="1">
      <c r="C42" s="233">
        <f>VLOOKUP(C34,STRADE!E4:X44,15,FALSE)</f>
        <v>240</v>
      </c>
      <c r="D42" s="234" t="s">
        <v>436</v>
      </c>
      <c r="E42" s="980"/>
      <c r="F42" s="980"/>
      <c r="G42" s="980"/>
      <c r="H42" s="980"/>
      <c r="I42" s="982"/>
      <c r="J42" s="980"/>
      <c r="K42" s="822" t="s">
        <v>297</v>
      </c>
      <c r="L42" s="235">
        <f>$K$7</f>
        <v>233.45455430653431</v>
      </c>
      <c r="M42" s="236">
        <f>$I$16</f>
        <v>312</v>
      </c>
      <c r="N42" s="237">
        <f>$K$7</f>
        <v>233.45455430653431</v>
      </c>
      <c r="O42" s="236">
        <f>$I$16</f>
        <v>312</v>
      </c>
      <c r="Q42" s="220">
        <f>E36</f>
        <v>0</v>
      </c>
      <c r="R42" s="221">
        <f>C36+Q42</f>
        <v>500</v>
      </c>
      <c r="S42" s="238">
        <v>5000</v>
      </c>
      <c r="T42" s="221">
        <f>2*SQRT(S42^2-(S42-Q42/2)^2)</f>
        <v>0</v>
      </c>
      <c r="U42" s="238">
        <v>340</v>
      </c>
      <c r="V42" s="222" t="e">
        <f>(U42^2+Q42^2)/4/Q42</f>
        <v>#DIV/0!</v>
      </c>
      <c r="AC42" s="226"/>
      <c r="AD42" s="227"/>
    </row>
    <row r="43" spans="3:33" s="190" customFormat="1">
      <c r="C43" s="233">
        <f>VLOOKUP(C34,STRADE!E4:X44,16,FALSE)</f>
        <v>708</v>
      </c>
      <c r="D43" s="234" t="s">
        <v>553</v>
      </c>
      <c r="E43" s="980"/>
      <c r="F43" s="980"/>
      <c r="G43" s="980"/>
      <c r="H43" s="980"/>
      <c r="I43" s="982"/>
      <c r="J43" s="983"/>
      <c r="K43" s="823" t="s">
        <v>292</v>
      </c>
      <c r="L43" s="240">
        <f>$C$36+$D$36+$F$37+$H$36/2</f>
        <v>503.25</v>
      </c>
      <c r="M43" s="241">
        <f>$C$36+$D$36+$F$37+$H$36/2</f>
        <v>503.25</v>
      </c>
      <c r="N43" s="242">
        <f>$C$36-$D$36-$F$37-$H$36*G36+$H$36/2</f>
        <v>493.25</v>
      </c>
      <c r="O43" s="241">
        <f>$C$36-$D$36-$F$37-$H$36/2</f>
        <v>496.75</v>
      </c>
      <c r="AC43" s="226"/>
      <c r="AD43" s="227"/>
    </row>
    <row r="44" spans="3:33" s="190" customFormat="1">
      <c r="C44" s="233">
        <f>VLOOKUP(C34,STRADE!E4:X44,17,FALSE)</f>
        <v>2000</v>
      </c>
      <c r="D44" s="234" t="s">
        <v>562</v>
      </c>
      <c r="E44" s="980"/>
      <c r="F44" s="980"/>
      <c r="G44" s="980"/>
      <c r="H44" s="980"/>
      <c r="I44" s="982"/>
      <c r="J44" s="983"/>
      <c r="K44" s="823" t="s">
        <v>293</v>
      </c>
      <c r="L44" s="240"/>
      <c r="M44" s="241">
        <f>$C$36+$D$36+$F$37+$H$36*$G$36</f>
        <v>508.5</v>
      </c>
      <c r="N44" s="242"/>
      <c r="O44" s="241">
        <f>$C$36-$D$36-$F$37-$H$36*$G$36</f>
        <v>491.5</v>
      </c>
      <c r="AC44" s="226"/>
      <c r="AD44" s="227"/>
    </row>
    <row r="45" spans="3:33" s="190" customFormat="1">
      <c r="C45" s="243">
        <f>VLOOKUP(C34,STRADE!E4:X44,2,FALSE)</f>
        <v>50</v>
      </c>
      <c r="D45" s="234" t="s">
        <v>63</v>
      </c>
      <c r="E45" s="980"/>
      <c r="F45" s="980"/>
      <c r="G45" s="980"/>
      <c r="H45" s="980"/>
      <c r="I45" s="982"/>
      <c r="J45" s="983"/>
      <c r="K45" s="823" t="s">
        <v>294</v>
      </c>
      <c r="L45" s="240">
        <f>$C$36+$D$36</f>
        <v>501</v>
      </c>
      <c r="M45" s="241">
        <f>$C$36+$D$36</f>
        <v>501</v>
      </c>
      <c r="N45" s="242">
        <f>$C$36-$D$36-$F$37-$H$36*$G$36-$I$37-$K$36</f>
        <v>488.25</v>
      </c>
      <c r="O45" s="241">
        <f>$C$36-$D$36-$F$37-$H$36*$G$36-$I$37-$K$36</f>
        <v>488.25</v>
      </c>
      <c r="AC45" s="226"/>
      <c r="AD45" s="227"/>
    </row>
    <row r="46" spans="3:33" s="190" customFormat="1">
      <c r="C46" s="243">
        <f>VLOOKUP(C34,STRADE!E4:X44,3,FALSE)</f>
        <v>80</v>
      </c>
      <c r="D46" s="234" t="s">
        <v>137</v>
      </c>
      <c r="E46" s="980"/>
      <c r="F46" s="980"/>
      <c r="G46" s="980"/>
      <c r="H46" s="980"/>
      <c r="I46" s="982"/>
      <c r="J46" s="983"/>
      <c r="K46" s="823" t="s">
        <v>295</v>
      </c>
      <c r="L46" s="244">
        <f>L42/L43</f>
        <v>0.46389379892008803</v>
      </c>
      <c r="M46" s="245">
        <f>M42/M43</f>
        <v>0.61997019374068552</v>
      </c>
      <c r="N46" s="246">
        <f>N42/N43</f>
        <v>0.47329864025653179</v>
      </c>
      <c r="O46" s="245">
        <f>O42/O43</f>
        <v>0.62808253648716661</v>
      </c>
      <c r="AC46" s="226"/>
      <c r="AD46" s="227"/>
    </row>
    <row r="47" spans="3:33" s="190" customFormat="1">
      <c r="C47" s="243">
        <f>VLOOKUP(C34,STRADE!E4:X44,18,FALSE)</f>
        <v>5</v>
      </c>
      <c r="D47" s="234" t="s">
        <v>602</v>
      </c>
      <c r="E47" s="980"/>
      <c r="F47" s="980"/>
      <c r="G47" s="980"/>
      <c r="H47" s="980"/>
      <c r="I47" s="982"/>
      <c r="J47" s="983"/>
      <c r="K47" s="823" t="s">
        <v>244</v>
      </c>
      <c r="L47" s="244"/>
      <c r="M47" s="241">
        <f>SQRT(M43^2+M44^2-2*M43*M44*COS(M46))</f>
        <v>308.66921131184756</v>
      </c>
      <c r="N47" s="246"/>
      <c r="O47" s="245">
        <f>SQRT(O43^2+O44^2-2*O43*O44*COS(O46))</f>
        <v>305.31597250935226</v>
      </c>
      <c r="AC47" s="226"/>
      <c r="AD47" s="227"/>
    </row>
    <row r="48" spans="3:33" s="190" customFormat="1" ht="13.5" thickBot="1">
      <c r="C48" s="247">
        <f>VLOOKUP(C34,STRADE!E4:X44,20,FALSE)</f>
        <v>6</v>
      </c>
      <c r="D48" s="248" t="s">
        <v>601</v>
      </c>
      <c r="E48" s="981"/>
      <c r="F48" s="981"/>
      <c r="G48" s="981"/>
      <c r="H48" s="981"/>
      <c r="I48" s="984"/>
      <c r="J48" s="985"/>
      <c r="K48" s="824" t="s">
        <v>296</v>
      </c>
      <c r="L48" s="249"/>
      <c r="M48" s="250">
        <f>ACOS((M44^2+M47^2-M43^2)/(2*M44*M47))</f>
        <v>1.2446126795539505</v>
      </c>
      <c r="N48" s="251"/>
      <c r="O48" s="250">
        <f>ACOS((O44^2+O47^2-O43^2)/(2*O44*O47))</f>
        <v>1.2731101174701656</v>
      </c>
      <c r="AC48" s="226"/>
      <c r="AD48" s="227"/>
    </row>
    <row r="49" spans="3:31" s="190" customFormat="1" ht="13.5" thickBot="1">
      <c r="I49" s="223"/>
      <c r="J49" s="239"/>
      <c r="AC49" s="226"/>
      <c r="AD49" s="227"/>
    </row>
    <row r="50" spans="3:31" ht="13.5" thickBot="1">
      <c r="C50" s="197" t="s">
        <v>10</v>
      </c>
      <c r="D50" s="1170" t="s">
        <v>603</v>
      </c>
      <c r="E50" s="1171"/>
      <c r="F50" s="1171"/>
      <c r="G50" s="1171"/>
      <c r="H50" s="1171"/>
      <c r="I50" s="1171"/>
      <c r="J50" s="1171"/>
      <c r="K50" s="1171"/>
      <c r="L50" s="1171"/>
      <c r="M50" s="1172"/>
      <c r="AB50" s="200"/>
      <c r="AC50" s="199"/>
      <c r="AD50" s="199"/>
      <c r="AE50" s="199"/>
    </row>
    <row r="51" spans="3:31" ht="42">
      <c r="C51" s="806" t="s">
        <v>107</v>
      </c>
      <c r="D51" s="807"/>
      <c r="E51" s="807" t="s">
        <v>236</v>
      </c>
      <c r="F51" s="807" t="s">
        <v>237</v>
      </c>
      <c r="G51" s="807"/>
      <c r="H51" s="807" t="s">
        <v>109</v>
      </c>
      <c r="I51" s="807"/>
      <c r="J51" s="807"/>
      <c r="K51" s="807"/>
      <c r="L51" s="807" t="s">
        <v>420</v>
      </c>
      <c r="M51" s="813" t="s">
        <v>174</v>
      </c>
      <c r="AB51" s="200"/>
      <c r="AC51" s="199"/>
      <c r="AD51" s="199"/>
    </row>
    <row r="52" spans="3:31" ht="13.5" thickBot="1">
      <c r="C52" s="257">
        <v>400</v>
      </c>
      <c r="D52" s="977"/>
      <c r="E52" s="205"/>
      <c r="F52" s="202">
        <f>VLOOKUP(C50,STRADE!E4:X46,9,FALSE)</f>
        <v>1.5</v>
      </c>
      <c r="G52" s="977"/>
      <c r="H52" s="202">
        <f>VLOOKUP(C50,STRADE!E4:X46,7,FALSE)</f>
        <v>3.75</v>
      </c>
      <c r="I52" s="977"/>
      <c r="J52" s="977"/>
      <c r="K52" s="977"/>
      <c r="L52" s="258">
        <f>L57*(C52-H52/2)/180*PI()</f>
        <v>103.75257551812341</v>
      </c>
      <c r="M52" s="259">
        <f>M57*(C52)/180*PI()</f>
        <v>127.55434861400605</v>
      </c>
      <c r="AB52" s="200"/>
      <c r="AC52" s="199"/>
      <c r="AD52" s="199"/>
      <c r="AE52" s="199"/>
    </row>
    <row r="53" spans="3:31" ht="13.5" thickBot="1">
      <c r="C53" s="979"/>
      <c r="D53" s="980"/>
      <c r="E53" s="980"/>
      <c r="F53" s="210">
        <f>E52+F52</f>
        <v>1.5</v>
      </c>
      <c r="G53" s="980"/>
      <c r="H53" s="980"/>
      <c r="I53" s="980"/>
      <c r="J53" s="980"/>
      <c r="K53" s="826" t="s">
        <v>613</v>
      </c>
      <c r="L53" s="827">
        <f>(K7/2)^2/(2*(H52/2+F52))+(F52+H52)</f>
        <v>2023.8066269060214</v>
      </c>
      <c r="M53" s="828"/>
      <c r="AB53" s="200"/>
      <c r="AC53" s="199"/>
      <c r="AD53" s="199"/>
      <c r="AE53" s="199"/>
    </row>
    <row r="54" spans="3:31">
      <c r="C54" s="979"/>
      <c r="D54" s="980"/>
      <c r="E54" s="980"/>
      <c r="F54" s="980"/>
      <c r="G54" s="980"/>
      <c r="H54" s="980"/>
      <c r="I54" s="980"/>
      <c r="J54" s="980"/>
      <c r="K54" s="814" t="s">
        <v>300</v>
      </c>
      <c r="L54" s="829">
        <f>L61-(L59*COS(L62/2))</f>
        <v>13.614553664172888</v>
      </c>
      <c r="M54" s="830">
        <f>M61-(M60*SIN(M64))</f>
        <v>123.85632829599371</v>
      </c>
      <c r="AB54" s="200"/>
      <c r="AC54" s="199"/>
      <c r="AD54" s="199"/>
      <c r="AE54" s="199"/>
    </row>
    <row r="55" spans="3:31">
      <c r="C55" s="979"/>
      <c r="D55" s="980"/>
      <c r="E55" s="980"/>
      <c r="F55" s="980"/>
      <c r="G55" s="980"/>
      <c r="H55" s="980"/>
      <c r="I55" s="980"/>
      <c r="J55" s="980"/>
      <c r="K55" s="993" t="s">
        <v>299</v>
      </c>
      <c r="L55" s="994"/>
      <c r="M55" s="995"/>
      <c r="AB55" s="200"/>
      <c r="AC55" s="199"/>
      <c r="AD55" s="199"/>
      <c r="AE55" s="199"/>
    </row>
    <row r="56" spans="3:31" ht="13.5" thickBot="1">
      <c r="C56" s="979"/>
      <c r="D56" s="980"/>
      <c r="E56" s="980"/>
      <c r="F56" s="980"/>
      <c r="G56" s="980"/>
      <c r="H56" s="980"/>
      <c r="I56" s="980"/>
      <c r="J56" s="980"/>
      <c r="K56" s="814" t="s">
        <v>298</v>
      </c>
      <c r="L56" s="224">
        <f>2*SQRT((C52-H52/2)^2-(C52-H52-F53)^2)</f>
        <v>103.45923110095106</v>
      </c>
      <c r="M56" s="212">
        <f>SQRT((C52-H52/2)^2-(C52-H52-F53)^2)+SQRT((C52+H52/2)^2-(C52-H52-F53)^2)</f>
        <v>127.06853726428824</v>
      </c>
      <c r="AB56" s="200"/>
      <c r="AC56" s="199"/>
      <c r="AD56" s="199"/>
      <c r="AE56" s="199"/>
    </row>
    <row r="57" spans="3:31">
      <c r="C57" s="228">
        <f>VLOOKUP(C50,STRADE!E4:X44,14,FALSE)</f>
        <v>118</v>
      </c>
      <c r="D57" s="229" t="s">
        <v>552</v>
      </c>
      <c r="E57" s="980"/>
      <c r="F57" s="980"/>
      <c r="G57" s="980"/>
      <c r="H57" s="980"/>
      <c r="I57" s="980"/>
      <c r="J57" s="980"/>
      <c r="K57" s="815" t="s">
        <v>189</v>
      </c>
      <c r="L57" s="230">
        <f>2*(ACOS((C52-H52-F53)/(C52-H52/2))*180/PI())</f>
        <v>14.931452912529537</v>
      </c>
      <c r="M57" s="231">
        <f>(ACOS((C52-H52-F53)/(C52-H52/2))*180/PI())+(ACOS((C52-H52-F53)/(C52+H52/2))*180/PI())</f>
        <v>18.27081458530732</v>
      </c>
      <c r="AB57" s="200"/>
      <c r="AC57" s="199"/>
      <c r="AD57" s="199"/>
      <c r="AE57" s="199"/>
    </row>
    <row r="58" spans="3:31">
      <c r="C58" s="233">
        <f>VLOOKUP(C50,STRADE!E4:X44,15,FALSE)</f>
        <v>437</v>
      </c>
      <c r="D58" s="234" t="s">
        <v>436</v>
      </c>
      <c r="E58" s="980"/>
      <c r="F58" s="980"/>
      <c r="G58" s="980"/>
      <c r="H58" s="980"/>
      <c r="I58" s="980"/>
      <c r="J58" s="980"/>
      <c r="K58" s="816" t="s">
        <v>364</v>
      </c>
      <c r="L58" s="235">
        <f>$K$7</f>
        <v>233.45455430653431</v>
      </c>
      <c r="M58" s="236">
        <f>$I$12</f>
        <v>660</v>
      </c>
      <c r="AB58" s="200"/>
      <c r="AC58" s="199"/>
      <c r="AD58" s="199"/>
      <c r="AE58" s="199"/>
    </row>
    <row r="59" spans="3:31">
      <c r="C59" s="233">
        <f>VLOOKUP(C50,STRADE!E4:X44,16,FALSE)</f>
        <v>2187</v>
      </c>
      <c r="D59" s="234" t="s">
        <v>553</v>
      </c>
      <c r="E59" s="980"/>
      <c r="F59" s="980"/>
      <c r="G59" s="980"/>
      <c r="H59" s="980"/>
      <c r="I59" s="980"/>
      <c r="J59" s="980"/>
      <c r="K59" s="817" t="s">
        <v>292</v>
      </c>
      <c r="L59" s="240">
        <f>$C$52-$H$52/2</f>
        <v>398.125</v>
      </c>
      <c r="M59" s="241">
        <f>$C$52-$H$52/2</f>
        <v>398.125</v>
      </c>
      <c r="AB59" s="200"/>
      <c r="AC59" s="199"/>
      <c r="AD59" s="199"/>
      <c r="AE59" s="199"/>
    </row>
    <row r="60" spans="3:31">
      <c r="C60" s="233">
        <f>VLOOKUP(C50,STRADE!E4:X44,17,FALSE)</f>
        <v>5250</v>
      </c>
      <c r="D60" s="234" t="s">
        <v>562</v>
      </c>
      <c r="E60" s="980"/>
      <c r="F60" s="980"/>
      <c r="G60" s="980"/>
      <c r="H60" s="980"/>
      <c r="I60" s="980"/>
      <c r="J60" s="980"/>
      <c r="K60" s="817" t="s">
        <v>293</v>
      </c>
      <c r="L60" s="240"/>
      <c r="M60" s="241">
        <f>$C$52+$H$52</f>
        <v>403.75</v>
      </c>
      <c r="AB60" s="200"/>
      <c r="AC60" s="199"/>
      <c r="AD60" s="199"/>
      <c r="AE60" s="199"/>
    </row>
    <row r="61" spans="3:31">
      <c r="C61" s="243">
        <f>VLOOKUP(C50,STRADE!E4:X44,2,FALSE)</f>
        <v>60</v>
      </c>
      <c r="D61" s="234" t="s">
        <v>63</v>
      </c>
      <c r="E61" s="980"/>
      <c r="F61" s="980"/>
      <c r="G61" s="980"/>
      <c r="H61" s="980"/>
      <c r="I61" s="980"/>
      <c r="J61" s="980"/>
      <c r="K61" s="817" t="s">
        <v>294</v>
      </c>
      <c r="L61" s="240">
        <f>$C$52-$F$53-$H$52</f>
        <v>394.75</v>
      </c>
      <c r="M61" s="241">
        <f>$C$52-$F$53-$H$52</f>
        <v>394.75</v>
      </c>
      <c r="AB61" s="200"/>
      <c r="AC61" s="199"/>
      <c r="AD61" s="199"/>
      <c r="AE61" s="199"/>
    </row>
    <row r="62" spans="3:31">
      <c r="C62" s="243">
        <f>VLOOKUP(C50,STRADE!E4:X44,3,FALSE)</f>
        <v>100</v>
      </c>
      <c r="D62" s="234" t="s">
        <v>137</v>
      </c>
      <c r="E62" s="980"/>
      <c r="F62" s="980"/>
      <c r="G62" s="980"/>
      <c r="H62" s="980"/>
      <c r="I62" s="980"/>
      <c r="J62" s="980"/>
      <c r="K62" s="817" t="s">
        <v>295</v>
      </c>
      <c r="L62" s="244">
        <f>L58/L59</f>
        <v>0.58638506576209559</v>
      </c>
      <c r="M62" s="245">
        <f>M58/M59</f>
        <v>1.6577708006279435</v>
      </c>
      <c r="AB62" s="200"/>
      <c r="AC62" s="199"/>
      <c r="AD62" s="199"/>
      <c r="AE62" s="199"/>
    </row>
    <row r="63" spans="3:31">
      <c r="C63" s="243">
        <f>VLOOKUP(C50,STRADE!E4:X44,18,FALSE)</f>
        <v>7</v>
      </c>
      <c r="D63" s="234" t="s">
        <v>602</v>
      </c>
      <c r="E63" s="980"/>
      <c r="F63" s="980"/>
      <c r="G63" s="980"/>
      <c r="H63" s="980"/>
      <c r="I63" s="980"/>
      <c r="J63" s="980"/>
      <c r="K63" s="817" t="s">
        <v>244</v>
      </c>
      <c r="L63" s="244"/>
      <c r="M63" s="241">
        <f>SQRT(M59^2+M60^2-2*M59*M60*COS(M62))</f>
        <v>591.13738633249386</v>
      </c>
      <c r="AB63" s="200"/>
      <c r="AC63" s="199"/>
      <c r="AD63" s="199"/>
      <c r="AE63" s="199"/>
    </row>
    <row r="64" spans="3:31" ht="13.5" thickBot="1">
      <c r="C64" s="247">
        <f>VLOOKUP(C50,STRADE!E4:X44,20,FALSE)</f>
        <v>7</v>
      </c>
      <c r="D64" s="248" t="s">
        <v>601</v>
      </c>
      <c r="E64" s="981"/>
      <c r="F64" s="981"/>
      <c r="G64" s="981"/>
      <c r="H64" s="981"/>
      <c r="I64" s="981"/>
      <c r="J64" s="981"/>
      <c r="K64" s="818" t="s">
        <v>296</v>
      </c>
      <c r="L64" s="249"/>
      <c r="M64" s="250">
        <f>ACOS((M60^2+M63^2-M59^2)/(2*M60*M63))</f>
        <v>0.73548124258830805</v>
      </c>
      <c r="AB64" s="200"/>
      <c r="AC64" s="199"/>
      <c r="AD64" s="199"/>
      <c r="AE64" s="199"/>
    </row>
    <row r="65" spans="3:31" ht="13.5" thickBot="1">
      <c r="AB65" s="200"/>
      <c r="AC65" s="199"/>
      <c r="AD65" s="199"/>
      <c r="AE65" s="199"/>
    </row>
    <row r="66" spans="3:31" ht="13.5" thickBot="1">
      <c r="C66" s="197" t="s">
        <v>928</v>
      </c>
      <c r="D66" s="1170" t="s">
        <v>932</v>
      </c>
      <c r="E66" s="1171"/>
      <c r="F66" s="1171"/>
      <c r="G66" s="1171"/>
      <c r="H66" s="1171"/>
      <c r="I66" s="1171"/>
      <c r="J66" s="1171"/>
      <c r="K66" s="1171"/>
      <c r="L66" s="1171"/>
      <c r="M66" s="1172"/>
      <c r="AB66" s="200"/>
      <c r="AC66" s="199"/>
      <c r="AD66" s="199"/>
      <c r="AE66" s="199"/>
    </row>
    <row r="67" spans="3:31" ht="27" customHeight="1">
      <c r="C67" s="806" t="s">
        <v>419</v>
      </c>
      <c r="D67" s="807"/>
      <c r="E67" s="807" t="s">
        <v>417</v>
      </c>
      <c r="F67" s="807" t="s">
        <v>111</v>
      </c>
      <c r="G67" s="807" t="s">
        <v>110</v>
      </c>
      <c r="H67" s="807" t="s">
        <v>109</v>
      </c>
      <c r="I67" s="807" t="s">
        <v>416</v>
      </c>
      <c r="J67" s="807" t="s">
        <v>418</v>
      </c>
      <c r="K67" s="807"/>
      <c r="L67" s="807" t="s">
        <v>421</v>
      </c>
      <c r="M67" s="813" t="s">
        <v>423</v>
      </c>
      <c r="AB67" s="200"/>
      <c r="AC67" s="199"/>
      <c r="AD67" s="199"/>
    </row>
    <row r="68" spans="3:31" ht="13.5" thickBot="1">
      <c r="C68" s="257">
        <v>80</v>
      </c>
      <c r="D68" s="978"/>
      <c r="E68" s="260"/>
      <c r="F68" s="968">
        <f>VLOOKUP(C66,TIPISTRADE,5,FALSE)</f>
        <v>2</v>
      </c>
      <c r="G68" s="204">
        <f>VLOOKUP(C66,TIPISTRADE,6,FALSE)</f>
        <v>1</v>
      </c>
      <c r="H68" s="968">
        <f>VLOOKUP(C66,TIPISTRADE,7,FALSE)</f>
        <v>4</v>
      </c>
      <c r="I68" s="968">
        <f>VLOOKUP(C66,TIPISTRADE,9,FALSE)</f>
        <v>2</v>
      </c>
      <c r="J68" s="260"/>
      <c r="K68" s="977"/>
      <c r="L68" s="258">
        <f>L73*(C68+H68/2)/180*PI()</f>
        <v>51.435544792963469</v>
      </c>
      <c r="M68" s="261">
        <f>M73*(C68-(G68-1)*H68-H68/2)/180*PI()</f>
        <v>50.175989970432973</v>
      </c>
      <c r="AB68" s="200"/>
      <c r="AC68" s="199"/>
      <c r="AD68" s="199"/>
      <c r="AE68" s="199"/>
    </row>
    <row r="69" spans="3:31" ht="13.5" thickBot="1">
      <c r="C69" s="979"/>
      <c r="D69" s="980"/>
      <c r="E69" s="980"/>
      <c r="F69" s="210">
        <f>E68+F68</f>
        <v>2</v>
      </c>
      <c r="G69" s="980"/>
      <c r="H69" s="980"/>
      <c r="I69" s="210">
        <f>I68+J68</f>
        <v>2</v>
      </c>
      <c r="J69" s="980"/>
      <c r="K69" s="826" t="s">
        <v>613</v>
      </c>
      <c r="L69" s="970">
        <f>(F7/2)^2/(2*(F69+H68/2))-(H68/2)</f>
        <v>71.595944848972039</v>
      </c>
      <c r="M69" s="971">
        <f>(F7/2)^2/(2*(H68/2+I69))+H68/2+(G68-1)*H68</f>
        <v>75.595944848972039</v>
      </c>
      <c r="O69"/>
      <c r="P69"/>
      <c r="Q69"/>
      <c r="AB69" s="200"/>
      <c r="AC69" s="199"/>
      <c r="AD69" s="199"/>
      <c r="AE69" s="199"/>
    </row>
    <row r="70" spans="3:31">
      <c r="C70" s="986" t="s">
        <v>180</v>
      </c>
      <c r="D70" s="987"/>
      <c r="E70" s="987"/>
      <c r="F70" s="987" t="s">
        <v>544</v>
      </c>
      <c r="G70" s="987" t="s">
        <v>545</v>
      </c>
      <c r="H70" s="987" t="s">
        <v>9</v>
      </c>
      <c r="I70" s="987" t="s">
        <v>546</v>
      </c>
      <c r="J70" s="987"/>
      <c r="K70" s="814" t="s">
        <v>300</v>
      </c>
      <c r="L70" s="829">
        <f>L77-(L75*COS(L78/2))</f>
        <v>-0.43607356784778517</v>
      </c>
      <c r="M70" s="972">
        <f>M77-(M75*COS(M78/2))</f>
        <v>-0.25618732966404423</v>
      </c>
      <c r="O70"/>
      <c r="P70"/>
      <c r="Q70"/>
      <c r="AB70" s="200"/>
      <c r="AC70" s="199"/>
      <c r="AD70" s="199"/>
      <c r="AE70" s="199"/>
    </row>
    <row r="71" spans="3:31" s="190" customFormat="1">
      <c r="C71" s="979"/>
      <c r="D71" s="980"/>
      <c r="E71" s="980"/>
      <c r="F71" s="988">
        <v>5</v>
      </c>
      <c r="G71" s="988">
        <v>6</v>
      </c>
      <c r="H71" s="988">
        <v>7</v>
      </c>
      <c r="I71" s="987">
        <v>9</v>
      </c>
      <c r="J71" s="989"/>
      <c r="K71" s="993" t="s">
        <v>299</v>
      </c>
      <c r="L71" s="994">
        <f>-0.00000198645581*D7*D7*L68*L68-0.00000056315525*D7*L68*L68*L68-0.000000099436*L68*L68*L68*L68+0.0056721194*D7*D7*D7+0.000849216905*D7*D7*L68+0.000320998194*D7*L68*L68+0.00007632948*L68*L68*L68-0.087048673*D7*D7-0.049664367*D7*L68-0.02163239*L68*L68+2.86915248*D7+3.07305788*L68-72.37</f>
        <v>38.154258104483148</v>
      </c>
      <c r="M71" s="995">
        <f>-0.00000198645581*D7*D7*M68*M68-0.00000056315525*D7*M68*M68*M68-0.000000099436*M68*M68*M68*M68+0.0056721194*D7*D7*D7+0.000849216905*D7*D7*M68+0.000320998194*D7*M68*M68+0.00007632948*M68*M68*M68-0.087048673*D7*D7-0.049664367*D7*M68-0.02163239*M68*M68+2.86915248*D7+3.07305788*M68-72.37</f>
        <v>36.373386019620767</v>
      </c>
      <c r="AB71" s="226"/>
      <c r="AC71" s="263"/>
      <c r="AD71" s="263"/>
      <c r="AE71" s="263"/>
    </row>
    <row r="72" spans="3:31" s="190" customFormat="1" ht="13.5" thickBot="1">
      <c r="C72" s="979"/>
      <c r="D72" s="980"/>
      <c r="E72" s="980"/>
      <c r="F72" s="980"/>
      <c r="G72" s="980"/>
      <c r="H72" s="980"/>
      <c r="I72" s="982"/>
      <c r="J72" s="989"/>
      <c r="K72" s="814" t="s">
        <v>298</v>
      </c>
      <c r="L72" s="224">
        <f>2*SQRT(L75^2-L77^2)</f>
        <v>50.596442562694072</v>
      </c>
      <c r="M72" s="253">
        <f>2*SQRT(M75^2-M77^2)</f>
        <v>49.315312023751808</v>
      </c>
      <c r="AB72" s="226"/>
      <c r="AC72" s="263"/>
      <c r="AD72" s="263"/>
      <c r="AE72" s="263"/>
    </row>
    <row r="73" spans="3:31" s="190" customFormat="1">
      <c r="C73" s="228">
        <f>VLOOKUP(C66,TIPISTRADE,14,FALSE)</f>
        <v>45</v>
      </c>
      <c r="D73" s="229" t="s">
        <v>552</v>
      </c>
      <c r="E73" s="990">
        <v>14</v>
      </c>
      <c r="F73" s="980"/>
      <c r="G73" s="980"/>
      <c r="H73" s="980"/>
      <c r="I73" s="982"/>
      <c r="J73" s="989"/>
      <c r="K73" s="815" t="s">
        <v>189</v>
      </c>
      <c r="L73" s="230">
        <f>2*(ACOS((L77)/(L75))*180/PI())</f>
        <v>35.93950772674274</v>
      </c>
      <c r="M73" s="231">
        <f>2*(ACOS((M77)/(M75))*180/PI())</f>
        <v>36.857339207648174</v>
      </c>
      <c r="AB73" s="226"/>
      <c r="AC73" s="263"/>
      <c r="AD73" s="263"/>
      <c r="AE73" s="263"/>
    </row>
    <row r="74" spans="3:31" s="190" customFormat="1">
      <c r="C74" s="233">
        <f>VLOOKUP(C66,TIPISTRADE,15,FALSE)</f>
        <v>437</v>
      </c>
      <c r="D74" s="234" t="s">
        <v>436</v>
      </c>
      <c r="E74" s="990">
        <v>15</v>
      </c>
      <c r="F74" s="980"/>
      <c r="G74" s="980"/>
      <c r="H74" s="980"/>
      <c r="I74" s="982"/>
      <c r="J74" s="989"/>
      <c r="K74" s="816" t="s">
        <v>364</v>
      </c>
      <c r="L74" s="235">
        <f>F7</f>
        <v>48.529065879811711</v>
      </c>
      <c r="M74" s="236">
        <f>F7</f>
        <v>48.529065879811711</v>
      </c>
      <c r="AB74" s="226"/>
      <c r="AC74" s="263"/>
      <c r="AD74" s="263"/>
      <c r="AE74" s="263"/>
    </row>
    <row r="75" spans="3:31" s="190" customFormat="1">
      <c r="C75" s="233">
        <f>VLOOKUP(C66,TIPISTRADE,16,FALSE)</f>
        <v>2187</v>
      </c>
      <c r="D75" s="234" t="s">
        <v>553</v>
      </c>
      <c r="E75" s="990">
        <v>16</v>
      </c>
      <c r="F75" s="980"/>
      <c r="G75" s="980"/>
      <c r="H75" s="980"/>
      <c r="I75" s="982"/>
      <c r="J75" s="989"/>
      <c r="K75" s="817" t="s">
        <v>292</v>
      </c>
      <c r="L75" s="240">
        <f>C68+H68/2</f>
        <v>82</v>
      </c>
      <c r="M75" s="241">
        <f>C68-(G68-1)*H68-H68/2</f>
        <v>78</v>
      </c>
      <c r="AB75" s="226"/>
      <c r="AC75" s="263"/>
      <c r="AD75" s="263"/>
      <c r="AE75" s="263"/>
    </row>
    <row r="76" spans="3:31" s="190" customFormat="1">
      <c r="C76" s="233">
        <f>VLOOKUP(C66,TIPISTRADE,17,FALSE)</f>
        <v>5250</v>
      </c>
      <c r="D76" s="234" t="s">
        <v>562</v>
      </c>
      <c r="E76" s="990">
        <v>17</v>
      </c>
      <c r="F76" s="980"/>
      <c r="G76" s="980"/>
      <c r="H76" s="980"/>
      <c r="I76" s="982"/>
      <c r="J76" s="989"/>
      <c r="K76" s="817" t="s">
        <v>293</v>
      </c>
      <c r="L76" s="240"/>
      <c r="M76" s="241"/>
      <c r="AB76" s="226"/>
      <c r="AC76" s="263"/>
      <c r="AD76" s="263"/>
      <c r="AE76" s="263"/>
    </row>
    <row r="77" spans="3:31" s="190" customFormat="1">
      <c r="C77" s="243">
        <f>VLOOKUP(C66,TIPISTRADE,2,FALSE)</f>
        <v>40</v>
      </c>
      <c r="D77" s="234" t="s">
        <v>63</v>
      </c>
      <c r="E77" s="990">
        <v>2</v>
      </c>
      <c r="F77" s="980"/>
      <c r="G77" s="980"/>
      <c r="H77" s="980"/>
      <c r="I77" s="982"/>
      <c r="J77" s="989"/>
      <c r="K77" s="817" t="s">
        <v>294</v>
      </c>
      <c r="L77" s="240">
        <f>C68-F69</f>
        <v>78</v>
      </c>
      <c r="M77" s="241">
        <f>C68-G68*H68-I69</f>
        <v>74</v>
      </c>
      <c r="AB77" s="226"/>
      <c r="AC77" s="263"/>
      <c r="AD77" s="263"/>
      <c r="AE77" s="263"/>
    </row>
    <row r="78" spans="3:31" s="190" customFormat="1">
      <c r="C78" s="243">
        <f>VLOOKUP(C66,TIPISTRADE,3,FALSE)</f>
        <v>100</v>
      </c>
      <c r="D78" s="234" t="s">
        <v>137</v>
      </c>
      <c r="E78" s="990">
        <v>3</v>
      </c>
      <c r="F78" s="980"/>
      <c r="G78" s="980"/>
      <c r="H78" s="980"/>
      <c r="I78" s="982"/>
      <c r="J78" s="989"/>
      <c r="K78" s="817" t="s">
        <v>295</v>
      </c>
      <c r="L78" s="244">
        <f>L74/L75</f>
        <v>0.59181787658306961</v>
      </c>
      <c r="M78" s="245">
        <f>M74/M75</f>
        <v>0.62216751127963732</v>
      </c>
      <c r="AB78" s="226"/>
      <c r="AC78" s="263"/>
      <c r="AD78" s="263"/>
      <c r="AE78" s="263"/>
    </row>
    <row r="79" spans="3:31" s="190" customFormat="1">
      <c r="C79" s="243">
        <f>VLOOKUP(C66,TIPISTRADE,18,FALSE)</f>
        <v>7</v>
      </c>
      <c r="D79" s="234" t="s">
        <v>602</v>
      </c>
      <c r="E79" s="990">
        <v>18</v>
      </c>
      <c r="F79" s="980"/>
      <c r="G79" s="980"/>
      <c r="H79" s="980"/>
      <c r="I79" s="982"/>
      <c r="J79" s="989"/>
      <c r="K79" s="817" t="s">
        <v>244</v>
      </c>
      <c r="L79" s="244"/>
      <c r="M79" s="241"/>
      <c r="AB79" s="226"/>
      <c r="AC79" s="263"/>
      <c r="AD79" s="263"/>
      <c r="AE79" s="263"/>
    </row>
    <row r="80" spans="3:31" s="190" customFormat="1" ht="13.5" thickBot="1">
      <c r="C80" s="247">
        <f>VLOOKUP(C66,TIPISTRADE,20,FALSE)</f>
        <v>5</v>
      </c>
      <c r="D80" s="248" t="s">
        <v>601</v>
      </c>
      <c r="E80" s="991">
        <v>20</v>
      </c>
      <c r="F80" s="981"/>
      <c r="G80" s="981"/>
      <c r="H80" s="981"/>
      <c r="I80" s="984"/>
      <c r="J80" s="992"/>
      <c r="K80" s="818" t="s">
        <v>296</v>
      </c>
      <c r="L80" s="249"/>
      <c r="M80" s="250"/>
      <c r="AB80" s="226"/>
      <c r="AC80" s="263"/>
      <c r="AD80" s="263"/>
      <c r="AE80" s="263"/>
    </row>
    <row r="81" spans="3:31" s="190" customFormat="1">
      <c r="I81" s="223"/>
      <c r="J81" s="262"/>
      <c r="K81" s="262"/>
      <c r="AB81" s="226"/>
      <c r="AC81" s="263"/>
      <c r="AD81" s="263"/>
      <c r="AE81" s="263"/>
    </row>
    <row r="82" spans="3:31" s="190" customFormat="1">
      <c r="I82" s="223"/>
      <c r="J82" s="262"/>
      <c r="K82" s="262"/>
      <c r="AB82" s="226"/>
      <c r="AC82" s="263"/>
      <c r="AD82" s="263"/>
      <c r="AE82" s="263"/>
    </row>
    <row r="83" spans="3:31" s="190" customFormat="1">
      <c r="I83" s="223"/>
      <c r="J83" s="262"/>
      <c r="K83" s="262"/>
      <c r="AB83" s="226"/>
      <c r="AC83" s="263"/>
      <c r="AD83" s="263"/>
      <c r="AE83" s="263"/>
    </row>
    <row r="84" spans="3:31" s="190" customFormat="1">
      <c r="I84" s="223"/>
      <c r="J84" s="262"/>
      <c r="K84" s="262"/>
      <c r="AB84" s="226"/>
      <c r="AC84" s="263"/>
      <c r="AD84" s="263"/>
      <c r="AE84" s="263"/>
    </row>
    <row r="85" spans="3:31" s="190" customFormat="1" ht="13.5" thickBot="1">
      <c r="I85" s="223"/>
      <c r="J85" s="262"/>
      <c r="K85" s="262"/>
      <c r="AB85" s="226"/>
      <c r="AC85" s="263"/>
      <c r="AD85" s="263"/>
      <c r="AE85" s="263"/>
    </row>
    <row r="86" spans="3:31" ht="13.5" thickBot="1">
      <c r="C86" s="1170" t="s">
        <v>246</v>
      </c>
      <c r="D86" s="1171"/>
      <c r="E86" s="1172"/>
      <c r="AB86" s="200"/>
      <c r="AC86" s="199"/>
      <c r="AD86" s="199"/>
      <c r="AE86" s="199"/>
    </row>
    <row r="87" spans="3:31" ht="38.25">
      <c r="C87" s="254" t="s">
        <v>184</v>
      </c>
      <c r="D87" s="255" t="s">
        <v>185</v>
      </c>
      <c r="E87" s="256" t="s">
        <v>180</v>
      </c>
      <c r="AB87" s="200"/>
      <c r="AC87" s="199"/>
      <c r="AD87" s="199"/>
      <c r="AE87" s="199"/>
    </row>
    <row r="88" spans="3:31" ht="13.5" thickBot="1">
      <c r="C88" s="257">
        <f>F7</f>
        <v>48.529065879811711</v>
      </c>
      <c r="D88" s="264">
        <f>F21+H20/2</f>
        <v>2.5750000000000002</v>
      </c>
      <c r="E88" s="265">
        <f>(C88^2-4*D88^2)/8/D88</f>
        <v>113.03629782364588</v>
      </c>
      <c r="AB88" s="200"/>
      <c r="AC88" s="199"/>
      <c r="AD88" s="199"/>
      <c r="AE88" s="199"/>
    </row>
    <row r="89" spans="3:31" ht="13.5" thickBot="1">
      <c r="AB89" s="200"/>
      <c r="AC89" s="199"/>
      <c r="AD89" s="199"/>
      <c r="AE89" s="199"/>
    </row>
    <row r="90" spans="3:31" ht="13.5" thickBot="1">
      <c r="C90" s="1170" t="s">
        <v>245</v>
      </c>
      <c r="D90" s="1171"/>
      <c r="E90" s="1171"/>
      <c r="F90" s="1171"/>
      <c r="G90" s="1171"/>
      <c r="H90" s="1171"/>
      <c r="I90" s="1171"/>
      <c r="J90" s="1172"/>
      <c r="AB90" s="200"/>
      <c r="AC90" s="199"/>
      <c r="AD90" s="199"/>
      <c r="AE90" s="199"/>
    </row>
    <row r="91" spans="3:31">
      <c r="C91" s="266" t="s">
        <v>239</v>
      </c>
      <c r="D91" s="267" t="s">
        <v>109</v>
      </c>
      <c r="E91" s="267" t="s">
        <v>237</v>
      </c>
      <c r="F91" s="267" t="s">
        <v>238</v>
      </c>
      <c r="G91" s="267" t="s">
        <v>177</v>
      </c>
      <c r="H91" s="267" t="s">
        <v>236</v>
      </c>
      <c r="I91" s="255" t="s">
        <v>178</v>
      </c>
      <c r="J91" s="268" t="s">
        <v>236</v>
      </c>
      <c r="AB91" s="200"/>
      <c r="AC91" s="199"/>
      <c r="AD91" s="199"/>
      <c r="AE91" s="199"/>
    </row>
    <row r="92" spans="3:31" ht="13.5" thickBot="1">
      <c r="C92" s="257">
        <v>2000</v>
      </c>
      <c r="D92" s="238">
        <v>3.75</v>
      </c>
      <c r="E92" s="238">
        <v>0.7</v>
      </c>
      <c r="F92" s="238">
        <v>1.3</v>
      </c>
      <c r="G92" s="269">
        <f>F7</f>
        <v>48.529065879811711</v>
      </c>
      <c r="H92" s="202">
        <f>CEILING(C94-SQRT(C94^2-(G92/2)^2)-D92/2-E92,0.1)</f>
        <v>-2.4000000000000004</v>
      </c>
      <c r="I92" s="269">
        <f>D16</f>
        <v>130</v>
      </c>
      <c r="J92" s="270">
        <f>CEILING((G94-D92/2-E92),0.1)</f>
        <v>-2.5</v>
      </c>
      <c r="AB92" s="200"/>
      <c r="AC92" s="199"/>
      <c r="AD92" s="199"/>
      <c r="AE92" s="199"/>
    </row>
    <row r="93" spans="3:31">
      <c r="C93" s="182" t="s">
        <v>240</v>
      </c>
      <c r="D93" s="181" t="s">
        <v>241</v>
      </c>
      <c r="E93" s="182" t="s">
        <v>242</v>
      </c>
      <c r="F93" s="182" t="s">
        <v>243</v>
      </c>
      <c r="G93" s="182" t="s">
        <v>244</v>
      </c>
      <c r="H93" s="182"/>
      <c r="I93" s="182"/>
      <c r="J93" s="182"/>
      <c r="AB93" s="200"/>
      <c r="AC93" s="199"/>
      <c r="AD93" s="199"/>
      <c r="AE93" s="199"/>
    </row>
    <row r="94" spans="3:31">
      <c r="C94" s="271">
        <f>C92+F92+E92+D92/2</f>
        <v>2003.875</v>
      </c>
      <c r="D94" s="271">
        <f>C92+F92+E92+D92+D92/2</f>
        <v>2007.625</v>
      </c>
      <c r="E94" s="271">
        <f>(C94^2+I92^2-D94^2)/2/C94/I92</f>
        <v>3.5640081956593711E-3</v>
      </c>
      <c r="F94" s="271">
        <f>SQRT(1-E94^2)</f>
        <v>0.99999364890262243</v>
      </c>
      <c r="G94" s="271">
        <f>C94*(1-F94)</f>
        <v>1.2726805257470081E-2</v>
      </c>
      <c r="H94" s="182"/>
      <c r="I94" s="182"/>
      <c r="J94" s="182"/>
    </row>
  </sheetData>
  <mergeCells count="17">
    <mergeCell ref="Q20:T20"/>
    <mergeCell ref="Q24:V24"/>
    <mergeCell ref="Q36:T36"/>
    <mergeCell ref="Q40:V40"/>
    <mergeCell ref="D50:M50"/>
    <mergeCell ref="D66:M66"/>
    <mergeCell ref="C3:O3"/>
    <mergeCell ref="D18:O18"/>
    <mergeCell ref="D34:O34"/>
    <mergeCell ref="C90:J90"/>
    <mergeCell ref="C86:E86"/>
    <mergeCell ref="C5:F5"/>
    <mergeCell ref="H5:K5"/>
    <mergeCell ref="C10:F10"/>
    <mergeCell ref="C14:F14"/>
    <mergeCell ref="H10:K10"/>
    <mergeCell ref="H14:K14"/>
  </mergeCells>
  <phoneticPr fontId="0" type="noConversion"/>
  <conditionalFormatting sqref="N23">
    <cfRule type="expression" dxfId="75" priority="29" stopIfTrue="1">
      <formula>$N$20-$F$7&gt;0</formula>
    </cfRule>
    <cfRule type="expression" dxfId="74" priority="30" stopIfTrue="1">
      <formula>$N$20-$F$7&lt;0</formula>
    </cfRule>
  </conditionalFormatting>
  <conditionalFormatting sqref="O23">
    <cfRule type="expression" dxfId="73" priority="31" stopIfTrue="1">
      <formula>$O$20-$D$16&gt;0</formula>
    </cfRule>
    <cfRule type="expression" dxfId="72" priority="32" stopIfTrue="1">
      <formula>$O$20-$D$16&lt;0</formula>
    </cfRule>
  </conditionalFormatting>
  <conditionalFormatting sqref="L22:O22">
    <cfRule type="cellIs" dxfId="71" priority="37" stopIfTrue="1" operator="greaterThan">
      <formula>0</formula>
    </cfRule>
    <cfRule type="cellIs" dxfId="70" priority="38" stopIfTrue="1" operator="lessThanOrEqual">
      <formula>0</formula>
    </cfRule>
  </conditionalFormatting>
  <conditionalFormatting sqref="L23">
    <cfRule type="expression" dxfId="69" priority="39" stopIfTrue="1">
      <formula>$L$20-$F$7&gt;0</formula>
    </cfRule>
    <cfRule type="expression" dxfId="68" priority="40" stopIfTrue="1">
      <formula>$L$20-$F$7&lt;0</formula>
    </cfRule>
  </conditionalFormatting>
  <conditionalFormatting sqref="M23">
    <cfRule type="expression" dxfId="67" priority="41" stopIfTrue="1">
      <formula>$M$20-$D$16&gt;0</formula>
    </cfRule>
    <cfRule type="expression" dxfId="66" priority="42" stopIfTrue="1">
      <formula>$M$20-$D$16&lt;0</formula>
    </cfRule>
  </conditionalFormatting>
  <conditionalFormatting sqref="H92">
    <cfRule type="expression" dxfId="65" priority="43" stopIfTrue="1">
      <formula>"C46-RADQ(C46^2-(G44/2)^2)-D44/2-E44&lt;0"</formula>
    </cfRule>
  </conditionalFormatting>
  <conditionalFormatting sqref="C7">
    <cfRule type="cellIs" dxfId="64" priority="44" stopIfTrue="1" operator="notBetween">
      <formula>80</formula>
      <formula>160</formula>
    </cfRule>
  </conditionalFormatting>
  <conditionalFormatting sqref="H7">
    <cfRule type="cellIs" dxfId="63" priority="45" stopIfTrue="1" operator="notBetween">
      <formula>25</formula>
      <formula>120</formula>
    </cfRule>
  </conditionalFormatting>
  <conditionalFormatting sqref="D7">
    <cfRule type="cellIs" dxfId="62" priority="46" stopIfTrue="1" operator="notBetween">
      <formula>-6</formula>
      <formula>6</formula>
    </cfRule>
  </conditionalFormatting>
  <conditionalFormatting sqref="I7">
    <cfRule type="cellIs" dxfId="61" priority="47" stopIfTrue="1" operator="notBetween">
      <formula>-12</formula>
      <formula>12</formula>
    </cfRule>
  </conditionalFormatting>
  <conditionalFormatting sqref="L54">
    <cfRule type="cellIs" dxfId="60" priority="27" stopIfTrue="1" operator="greaterThan">
      <formula>0</formula>
    </cfRule>
    <cfRule type="cellIs" dxfId="59" priority="28" stopIfTrue="1" operator="lessThanOrEqual">
      <formula>0</formula>
    </cfRule>
  </conditionalFormatting>
  <conditionalFormatting sqref="M54">
    <cfRule type="cellIs" dxfId="58" priority="25" stopIfTrue="1" operator="greaterThan">
      <formula>0</formula>
    </cfRule>
    <cfRule type="cellIs" dxfId="57" priority="26" stopIfTrue="1" operator="lessThanOrEqual">
      <formula>0</formula>
    </cfRule>
  </conditionalFormatting>
  <conditionalFormatting sqref="N39">
    <cfRule type="expression" dxfId="56" priority="11" stopIfTrue="1">
      <formula>$N$36-$K$7&gt;0</formula>
    </cfRule>
    <cfRule type="expression" dxfId="55" priority="12" stopIfTrue="1">
      <formula>$N$36-$K$7&lt;0</formula>
    </cfRule>
  </conditionalFormatting>
  <conditionalFormatting sqref="O39">
    <cfRule type="expression" dxfId="54" priority="13" stopIfTrue="1">
      <formula>$O$36-$I$16&gt;0</formula>
    </cfRule>
    <cfRule type="expression" dxfId="53" priority="14" stopIfTrue="1">
      <formula>$O$36-$I$16&lt;0</formula>
    </cfRule>
  </conditionalFormatting>
  <conditionalFormatting sqref="L38:O38">
    <cfRule type="cellIs" dxfId="52" priority="19" stopIfTrue="1" operator="greaterThan">
      <formula>0</formula>
    </cfRule>
    <cfRule type="cellIs" dxfId="51" priority="20" stopIfTrue="1" operator="lessThanOrEqual">
      <formula>0</formula>
    </cfRule>
  </conditionalFormatting>
  <conditionalFormatting sqref="L39">
    <cfRule type="expression" dxfId="50" priority="21" stopIfTrue="1">
      <formula>$L$36-$K$7&gt;0</formula>
    </cfRule>
    <cfRule type="expression" dxfId="49" priority="22" stopIfTrue="1">
      <formula>$L$36-$K$7&lt;0</formula>
    </cfRule>
  </conditionalFormatting>
  <conditionalFormatting sqref="M39">
    <cfRule type="expression" dxfId="48" priority="23" stopIfTrue="1">
      <formula>$M$36-$I$16&gt;0</formula>
    </cfRule>
    <cfRule type="expression" dxfId="47" priority="24" stopIfTrue="1">
      <formula>$M$36-$I$16&lt;0</formula>
    </cfRule>
  </conditionalFormatting>
  <conditionalFormatting sqref="L70">
    <cfRule type="cellIs" dxfId="46" priority="3" stopIfTrue="1" operator="greaterThan">
      <formula>0</formula>
    </cfRule>
    <cfRule type="cellIs" dxfId="45" priority="4" stopIfTrue="1" operator="lessThanOrEqual">
      <formula>0</formula>
    </cfRule>
  </conditionalFormatting>
  <conditionalFormatting sqref="M70">
    <cfRule type="cellIs" dxfId="44" priority="1" stopIfTrue="1" operator="greaterThan">
      <formula>0</formula>
    </cfRule>
    <cfRule type="cellIs" dxfId="43" priority="2" stopIfTrue="1" operator="lessThanOrEqual">
      <formula>0</formula>
    </cfRule>
  </conditionalFormatting>
  <dataValidations count="4">
    <dataValidation type="list" allowBlank="1" showInputMessage="1" showErrorMessage="1" sqref="C50">
      <formula1>TIPOCEF</formula1>
    </dataValidation>
    <dataValidation type="list" allowBlank="1" showInputMessage="1" showErrorMessage="1" sqref="C18">
      <formula1>TIPOA</formula1>
    </dataValidation>
    <dataValidation type="list" allowBlank="1" showInputMessage="1" showErrorMessage="1" sqref="C34">
      <formula1>TIPOBD</formula1>
    </dataValidation>
    <dataValidation type="list" allowBlank="1" showInputMessage="1" showErrorMessage="1" sqref="C66">
      <formula1>TIMPORAMPE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C2:R221"/>
  <sheetViews>
    <sheetView workbookViewId="0">
      <selection activeCell="U17" sqref="U17"/>
    </sheetView>
  </sheetViews>
  <sheetFormatPr defaultRowHeight="12.75"/>
  <cols>
    <col min="1" max="2" width="2.7109375" customWidth="1"/>
    <col min="3" max="3" width="4.7109375" customWidth="1"/>
    <col min="4" max="4" width="5" bestFit="1" customWidth="1"/>
    <col min="6" max="6" width="11.42578125" bestFit="1" customWidth="1"/>
    <col min="9" max="9" width="3.42578125" customWidth="1"/>
    <col min="10" max="10" width="6.5703125" bestFit="1" customWidth="1"/>
    <col min="11" max="11" width="5.5703125" bestFit="1" customWidth="1"/>
    <col min="13" max="13" width="11.42578125" bestFit="1" customWidth="1"/>
  </cols>
  <sheetData>
    <row r="2" spans="5:18" ht="13.5" thickBot="1"/>
    <row r="3" spans="5:18" s="9" customFormat="1" ht="31.5" customHeight="1">
      <c r="E3" s="1190" t="s">
        <v>366</v>
      </c>
      <c r="F3" s="1191"/>
      <c r="G3" s="1191"/>
      <c r="H3" s="1192"/>
      <c r="I3" s="69"/>
      <c r="J3" s="69"/>
      <c r="L3" s="1190" t="s">
        <v>367</v>
      </c>
      <c r="M3" s="1191"/>
      <c r="N3" s="1191"/>
      <c r="O3" s="1192"/>
      <c r="P3" s="53"/>
      <c r="Q3" s="53"/>
      <c r="R3" s="53"/>
    </row>
    <row r="4" spans="5:18">
      <c r="E4" s="54" t="s">
        <v>349</v>
      </c>
      <c r="F4" s="52">
        <f>VIS!C7</f>
        <v>50</v>
      </c>
      <c r="G4" s="51" t="s">
        <v>352</v>
      </c>
      <c r="H4" s="60"/>
      <c r="I4" s="9"/>
      <c r="J4" s="9"/>
      <c r="L4" s="54" t="s">
        <v>349</v>
      </c>
      <c r="M4" s="52">
        <f>VIS!H7</f>
        <v>120</v>
      </c>
      <c r="N4" s="51" t="s">
        <v>352</v>
      </c>
      <c r="O4" s="60"/>
    </row>
    <row r="5" spans="5:18">
      <c r="E5" s="55" t="s">
        <v>350</v>
      </c>
      <c r="F5" s="48">
        <v>0</v>
      </c>
      <c r="G5" s="43" t="s">
        <v>352</v>
      </c>
      <c r="H5" s="60"/>
      <c r="I5" s="9"/>
      <c r="J5" s="9"/>
      <c r="L5" s="55" t="s">
        <v>350</v>
      </c>
      <c r="M5" s="48">
        <v>0</v>
      </c>
      <c r="N5" s="43" t="s">
        <v>352</v>
      </c>
      <c r="O5" s="60"/>
    </row>
    <row r="6" spans="5:18">
      <c r="E6" s="55" t="s">
        <v>353</v>
      </c>
      <c r="F6" s="11">
        <f>2.8-0.01*F4</f>
        <v>2.2999999999999998</v>
      </c>
      <c r="G6" s="11" t="s">
        <v>351</v>
      </c>
      <c r="H6" s="60"/>
      <c r="I6" s="9"/>
      <c r="J6" s="9"/>
      <c r="L6" s="55" t="s">
        <v>353</v>
      </c>
      <c r="M6" s="11">
        <f>2.8-0.01*M4</f>
        <v>1.5999999999999999</v>
      </c>
      <c r="N6" s="11" t="s">
        <v>351</v>
      </c>
      <c r="O6" s="60"/>
    </row>
    <row r="7" spans="5:18">
      <c r="E7" s="55" t="s">
        <v>355</v>
      </c>
      <c r="F7" s="11">
        <v>1.1499999999999999</v>
      </c>
      <c r="G7" s="1115" t="s">
        <v>1112</v>
      </c>
      <c r="H7" s="60"/>
      <c r="I7" s="9"/>
      <c r="J7" s="9"/>
      <c r="L7" s="55" t="s">
        <v>355</v>
      </c>
      <c r="M7" s="11">
        <v>1.1499999999999999</v>
      </c>
      <c r="N7" s="1115" t="s">
        <v>1112</v>
      </c>
      <c r="O7" s="60"/>
    </row>
    <row r="8" spans="5:18">
      <c r="E8" s="55" t="s">
        <v>356</v>
      </c>
      <c r="F8" s="11">
        <v>0.35</v>
      </c>
      <c r="G8" s="11"/>
      <c r="H8" s="60"/>
      <c r="I8" s="9"/>
      <c r="J8" s="9"/>
      <c r="L8" s="55" t="s">
        <v>356</v>
      </c>
      <c r="M8" s="11">
        <v>0.35</v>
      </c>
      <c r="N8" s="11"/>
      <c r="O8" s="60"/>
    </row>
    <row r="9" spans="5:18">
      <c r="E9" s="55" t="s">
        <v>357</v>
      </c>
      <c r="F9" s="11">
        <v>2.1</v>
      </c>
      <c r="G9" s="1115" t="s">
        <v>1110</v>
      </c>
      <c r="H9" s="60"/>
      <c r="I9" s="9"/>
      <c r="J9" s="9"/>
      <c r="L9" s="55" t="s">
        <v>357</v>
      </c>
      <c r="M9" s="11">
        <v>2.1</v>
      </c>
      <c r="N9" s="1115" t="s">
        <v>1110</v>
      </c>
      <c r="O9" s="60"/>
    </row>
    <row r="10" spans="5:18">
      <c r="E10" s="55" t="s">
        <v>358</v>
      </c>
      <c r="F10" s="11">
        <v>1250</v>
      </c>
      <c r="G10" s="11" t="s">
        <v>359</v>
      </c>
      <c r="H10" s="60"/>
      <c r="I10" s="9"/>
      <c r="J10" s="9"/>
      <c r="L10" s="55" t="s">
        <v>358</v>
      </c>
      <c r="M10" s="11">
        <v>1250</v>
      </c>
      <c r="N10" s="11" t="s">
        <v>359</v>
      </c>
      <c r="O10" s="60"/>
    </row>
    <row r="11" spans="5:18">
      <c r="E11" s="55" t="s">
        <v>360</v>
      </c>
      <c r="F11" s="11">
        <f>1/2/3.6^2*F7*F8*F9/F10</f>
        <v>2.6087962962962963E-5</v>
      </c>
      <c r="G11" s="11" t="s">
        <v>365</v>
      </c>
      <c r="H11" s="60"/>
      <c r="I11" s="9"/>
      <c r="J11" s="9"/>
      <c r="L11" s="55" t="s">
        <v>360</v>
      </c>
      <c r="M11" s="11">
        <f>1/2/3.6^2*M7*M8*M9/M10</f>
        <v>2.6087962962962963E-5</v>
      </c>
      <c r="N11" s="11" t="s">
        <v>365</v>
      </c>
      <c r="O11" s="60"/>
    </row>
    <row r="12" spans="5:18">
      <c r="E12" s="55" t="s">
        <v>344</v>
      </c>
      <c r="F12" s="48">
        <f>VIS!D7</f>
        <v>0</v>
      </c>
      <c r="G12" s="43" t="s">
        <v>361</v>
      </c>
      <c r="H12" s="60"/>
      <c r="I12" s="9"/>
      <c r="J12" s="9"/>
      <c r="L12" s="55" t="s">
        <v>344</v>
      </c>
      <c r="M12" s="48">
        <f>VIS!I7</f>
        <v>0</v>
      </c>
      <c r="N12" s="43" t="s">
        <v>361</v>
      </c>
      <c r="O12" s="60"/>
    </row>
    <row r="13" spans="5:18">
      <c r="E13" s="55" t="s">
        <v>362</v>
      </c>
      <c r="F13" s="49">
        <v>9.81</v>
      </c>
      <c r="G13" s="1115" t="s">
        <v>1111</v>
      </c>
      <c r="H13" s="60"/>
      <c r="I13" s="9"/>
      <c r="J13" s="9"/>
      <c r="L13" s="55" t="s">
        <v>362</v>
      </c>
      <c r="M13" s="49">
        <v>9.81</v>
      </c>
      <c r="N13" s="1115" t="s">
        <v>1111</v>
      </c>
      <c r="O13" s="60"/>
    </row>
    <row r="14" spans="5:18">
      <c r="E14" s="55" t="s">
        <v>354</v>
      </c>
      <c r="F14" s="49">
        <f>F4/3.6*F6</f>
        <v>31.944444444444443</v>
      </c>
      <c r="G14" s="11" t="s">
        <v>358</v>
      </c>
      <c r="H14" s="60"/>
      <c r="I14" s="9"/>
      <c r="J14" s="9"/>
      <c r="L14" s="55" t="s">
        <v>354</v>
      </c>
      <c r="M14" s="49">
        <f>M4/3.6*M6</f>
        <v>53.333333333333336</v>
      </c>
      <c r="N14" s="11" t="s">
        <v>358</v>
      </c>
      <c r="O14" s="60"/>
    </row>
    <row r="15" spans="5:18">
      <c r="E15" s="55" t="s">
        <v>363</v>
      </c>
      <c r="F15" s="49">
        <f>SUM(H18:H217)</f>
        <v>16.584621435367268</v>
      </c>
      <c r="G15" s="11" t="s">
        <v>358</v>
      </c>
      <c r="H15" s="60"/>
      <c r="I15" s="9"/>
      <c r="J15" s="9"/>
      <c r="L15" s="55" t="s">
        <v>363</v>
      </c>
      <c r="M15" s="49">
        <f>SUM(O18:O217)</f>
        <v>180.12122097320096</v>
      </c>
      <c r="N15" s="11" t="s">
        <v>358</v>
      </c>
      <c r="O15" s="60"/>
    </row>
    <row r="16" spans="5:18">
      <c r="E16" s="56" t="s">
        <v>177</v>
      </c>
      <c r="F16" s="50">
        <f>F14+F15</f>
        <v>48.529065879811711</v>
      </c>
      <c r="G16" s="47" t="s">
        <v>358</v>
      </c>
      <c r="H16" s="60"/>
      <c r="I16" s="9"/>
      <c r="J16" s="9"/>
      <c r="L16" s="56" t="s">
        <v>177</v>
      </c>
      <c r="M16" s="50">
        <f>M14+M15</f>
        <v>233.45455430653431</v>
      </c>
      <c r="N16" s="47" t="s">
        <v>358</v>
      </c>
      <c r="O16" s="60"/>
    </row>
    <row r="17" spans="3:17" ht="13.5" thickBot="1">
      <c r="E17" s="57" t="s">
        <v>72</v>
      </c>
      <c r="F17" s="58" t="s">
        <v>17</v>
      </c>
      <c r="G17" s="58"/>
      <c r="H17" s="59" t="s">
        <v>364</v>
      </c>
      <c r="I17" s="70"/>
      <c r="J17" s="70"/>
      <c r="L17" s="57" t="s">
        <v>72</v>
      </c>
      <c r="M17" s="58" t="s">
        <v>17</v>
      </c>
      <c r="N17" s="58"/>
      <c r="O17" s="59" t="s">
        <v>364</v>
      </c>
    </row>
    <row r="18" spans="3:17">
      <c r="C18" s="48">
        <v>160</v>
      </c>
      <c r="D18" s="73">
        <v>0.32</v>
      </c>
      <c r="E18" s="8">
        <f>F4</f>
        <v>50</v>
      </c>
      <c r="F18">
        <f>IF(E18&lt;=80,$D$22+($D$23-$D$22)/80*(80-E18),IF(E18&lt;=100,$D$21+($D$22-$D$21)/20*(100-E18),IF(E18&lt;=120,$D$20+($D$21-$D$20)/20*(120-E18),IF(E18&lt;=140,$D$19+($D$20-$D$19)/20*(140-E18),IF(E18&lt;=160,$D$18+($D$19-$D$18)/20*(140-E18))))))</f>
        <v>0.53749999999999998</v>
      </c>
      <c r="G18">
        <f>1/3.6^2*E18/($F$13*(F18+$F$12/100)+$F$11*E18^2)</f>
        <v>0.72273437589212519</v>
      </c>
      <c r="H18">
        <f>(G18+G19)/2*(E18-E19)</f>
        <v>0.18010878874196118</v>
      </c>
      <c r="J18" s="48">
        <v>160</v>
      </c>
      <c r="L18" s="8">
        <f>M4</f>
        <v>120</v>
      </c>
      <c r="M18">
        <f t="shared" ref="M18:M81" si="0">IF(L18&lt;=25,$K$25+($K$26-$K$25)/25*(25-L18),IF(L18&lt;=40,$K$24+($K$25-$K$24)/15*(40-L18),IF(L18&lt;=60,$K$23+($K$24-$K$23)/20*(60-L18),IF(L18&lt;=80,$K$22+($K$23-$K$22)/20*(80-L18),IF(L18&lt;=100,$K$21+($K$22-$K$21)/20*(100-L18),IF(L18&lt;=120,$K$20+($K$21-$K$20)/20*(120-L18)))))))</f>
        <v>0.21</v>
      </c>
      <c r="N18">
        <f>1/3.6^2*L18/($M$13*(M18+$M$12/100)+$M$11*L18^2)</f>
        <v>3.8013736643873637</v>
      </c>
      <c r="O18">
        <f>(N18+N19)/2*(L18-L19)</f>
        <v>2.2713960688619337</v>
      </c>
    </row>
    <row r="19" spans="3:17">
      <c r="C19" s="48">
        <v>140</v>
      </c>
      <c r="D19" s="73">
        <v>0.34</v>
      </c>
      <c r="E19" s="8">
        <f>E18-($F$4-$F$5)/200</f>
        <v>49.75</v>
      </c>
      <c r="F19">
        <f t="shared" ref="F19:F82" si="1">IF(E19&lt;=80,$D$22+($D$23-$D$22)/80*(80-E19),IF(E19&lt;=100,$D$21+($D$22-$D$21)/20*(100-E19),IF(E19&lt;=120,$D$20+($D$21-$D$20)/20*(120-E19),IF(E19&lt;=140,$D$19+($D$20-$D$19)/20*(140-E19),IF(E19&lt;=160,$D$18+($D$19-$D$18)/20*(140-E19))))))</f>
        <v>0.53831249999999997</v>
      </c>
      <c r="G19">
        <f>1/3.6^2*E19/($F$13*(F19+$F$12/100)+$F$11*E19^2)</f>
        <v>0.71813593404356435</v>
      </c>
      <c r="H19">
        <f t="shared" ref="H19:H82" si="2">(G19+G20)/2*(E19-E20)</f>
        <v>0.17896069607458581</v>
      </c>
      <c r="J19" s="48">
        <v>140</v>
      </c>
      <c r="L19" s="8">
        <f>L18-($M$4-$M$5)/200</f>
        <v>119.4</v>
      </c>
      <c r="M19">
        <f t="shared" si="0"/>
        <v>0.21119999999999997</v>
      </c>
      <c r="N19">
        <f t="shared" ref="N19:N82" si="3">1/3.6^2*L19/($M$13*(M19+$M$12/100)+$M$11*L19^2)</f>
        <v>3.7699465651524862</v>
      </c>
      <c r="O19">
        <f t="shared" ref="O19:O82" si="4">(N19+N20)/2*(L19-L20)</f>
        <v>2.2525929326940997</v>
      </c>
    </row>
    <row r="20" spans="3:17">
      <c r="C20" s="48">
        <v>120</v>
      </c>
      <c r="D20" s="73">
        <v>0.36</v>
      </c>
      <c r="E20" s="8">
        <f t="shared" ref="E20:E83" si="5">E19-($F$4-$F$5)/200</f>
        <v>49.5</v>
      </c>
      <c r="F20">
        <f t="shared" si="1"/>
        <v>0.53912499999999997</v>
      </c>
      <c r="G20">
        <f t="shared" ref="G20:G83" si="6">1/3.6^2*E20/($F$13*(F20+$F$12/100)+$F$11*E20^2)</f>
        <v>0.71354963455312215</v>
      </c>
      <c r="H20">
        <f t="shared" si="2"/>
        <v>0.17781563382191173</v>
      </c>
      <c r="J20" s="48">
        <v>120</v>
      </c>
      <c r="K20" s="73">
        <v>0.21</v>
      </c>
      <c r="L20" s="8">
        <f t="shared" ref="L20:L83" si="7">L19-($M$4-$M$5)/200</f>
        <v>118.80000000000001</v>
      </c>
      <c r="M20">
        <f t="shared" si="0"/>
        <v>0.21239999999999998</v>
      </c>
      <c r="N20">
        <f t="shared" si="3"/>
        <v>3.7386965438279174</v>
      </c>
      <c r="O20">
        <f t="shared" si="4"/>
        <v>2.2338957369127894</v>
      </c>
      <c r="Q20" s="73">
        <v>0.21</v>
      </c>
    </row>
    <row r="21" spans="3:17">
      <c r="C21" s="48">
        <v>100</v>
      </c>
      <c r="D21" s="73">
        <v>0.4</v>
      </c>
      <c r="E21" s="8">
        <f t="shared" si="5"/>
        <v>49.25</v>
      </c>
      <c r="F21">
        <f t="shared" si="1"/>
        <v>0.53993749999999996</v>
      </c>
      <c r="G21">
        <f t="shared" si="6"/>
        <v>0.70897543602217172</v>
      </c>
      <c r="H21">
        <f t="shared" si="2"/>
        <v>0.17667359165701685</v>
      </c>
      <c r="J21" s="48">
        <v>100</v>
      </c>
      <c r="K21" s="73">
        <v>0.25</v>
      </c>
      <c r="L21" s="8">
        <f t="shared" si="7"/>
        <v>118.20000000000002</v>
      </c>
      <c r="M21">
        <f t="shared" si="0"/>
        <v>0.21359999999999996</v>
      </c>
      <c r="N21">
        <f t="shared" si="3"/>
        <v>3.7076225792147852</v>
      </c>
      <c r="O21">
        <f t="shared" si="4"/>
        <v>2.2153038703853452</v>
      </c>
      <c r="Q21" s="73">
        <v>0.25</v>
      </c>
    </row>
    <row r="22" spans="3:17">
      <c r="C22" s="48">
        <v>80</v>
      </c>
      <c r="D22" s="73">
        <v>0.44</v>
      </c>
      <c r="E22" s="8">
        <f t="shared" si="5"/>
        <v>49</v>
      </c>
      <c r="F22">
        <f t="shared" si="1"/>
        <v>0.54074999999999995</v>
      </c>
      <c r="G22">
        <f t="shared" si="6"/>
        <v>0.70441329723396318</v>
      </c>
      <c r="H22">
        <f t="shared" si="2"/>
        <v>0.17553455929832462</v>
      </c>
      <c r="J22" s="48">
        <v>80</v>
      </c>
      <c r="K22" s="73">
        <v>0.3</v>
      </c>
      <c r="L22" s="8">
        <f t="shared" si="7"/>
        <v>117.60000000000002</v>
      </c>
      <c r="M22">
        <f t="shared" si="0"/>
        <v>0.21479999999999994</v>
      </c>
      <c r="N22">
        <f t="shared" si="3"/>
        <v>3.676723655403102</v>
      </c>
      <c r="O22">
        <f t="shared" si="4"/>
        <v>2.1968167251497288</v>
      </c>
      <c r="Q22" s="73">
        <v>0.3</v>
      </c>
    </row>
    <row r="23" spans="3:17">
      <c r="C23" s="48">
        <v>0</v>
      </c>
      <c r="D23" s="73">
        <v>0.7</v>
      </c>
      <c r="E23" s="8">
        <f t="shared" si="5"/>
        <v>48.75</v>
      </c>
      <c r="F23">
        <f t="shared" si="1"/>
        <v>0.54156249999999995</v>
      </c>
      <c r="G23">
        <f t="shared" si="6"/>
        <v>0.69986317715263391</v>
      </c>
      <c r="H23">
        <f t="shared" si="2"/>
        <v>0.17439852650935736</v>
      </c>
      <c r="J23" s="48">
        <v>60</v>
      </c>
      <c r="K23" s="73">
        <v>0.35</v>
      </c>
      <c r="L23" s="8">
        <f t="shared" si="7"/>
        <v>117.00000000000003</v>
      </c>
      <c r="M23">
        <f t="shared" si="0"/>
        <v>0.21599999999999994</v>
      </c>
      <c r="N23">
        <f t="shared" si="3"/>
        <v>3.6459987617627294</v>
      </c>
      <c r="O23">
        <f t="shared" si="4"/>
        <v>2.1784336964089737</v>
      </c>
      <c r="Q23" s="73">
        <v>0.35</v>
      </c>
    </row>
    <row r="24" spans="3:17">
      <c r="E24" s="8">
        <f t="shared" si="5"/>
        <v>48.5</v>
      </c>
      <c r="F24">
        <f t="shared" si="1"/>
        <v>0.54237499999999994</v>
      </c>
      <c r="G24">
        <f t="shared" si="6"/>
        <v>0.69532503492222497</v>
      </c>
      <c r="H24">
        <f t="shared" si="2"/>
        <v>0.17326548309849127</v>
      </c>
      <c r="J24" s="48">
        <v>40</v>
      </c>
      <c r="K24" s="73">
        <v>0.43</v>
      </c>
      <c r="L24" s="8">
        <f t="shared" si="7"/>
        <v>116.40000000000003</v>
      </c>
      <c r="M24">
        <f t="shared" si="0"/>
        <v>0.21719999999999992</v>
      </c>
      <c r="N24">
        <f t="shared" si="3"/>
        <v>3.6154468929339179</v>
      </c>
      <c r="O24">
        <f t="shared" si="4"/>
        <v>2.1601541825253836</v>
      </c>
      <c r="Q24" s="73">
        <v>0.43</v>
      </c>
    </row>
    <row r="25" spans="3:17">
      <c r="E25" s="8">
        <f t="shared" si="5"/>
        <v>48.25</v>
      </c>
      <c r="F25">
        <f t="shared" si="1"/>
        <v>0.54318749999999993</v>
      </c>
      <c r="G25">
        <f t="shared" si="6"/>
        <v>0.69079882986570507</v>
      </c>
      <c r="H25">
        <f t="shared" si="2"/>
        <v>0.17213541891871306</v>
      </c>
      <c r="J25" s="48">
        <v>25</v>
      </c>
      <c r="K25" s="73">
        <v>0.45</v>
      </c>
      <c r="L25" s="8">
        <f t="shared" si="7"/>
        <v>115.80000000000004</v>
      </c>
      <c r="M25">
        <f t="shared" si="0"/>
        <v>0.21839999999999993</v>
      </c>
      <c r="N25">
        <f t="shared" si="3"/>
        <v>3.5850670488174288</v>
      </c>
      <c r="O25">
        <f t="shared" si="4"/>
        <v>2.1419775850144878</v>
      </c>
      <c r="Q25" s="73">
        <v>0.45</v>
      </c>
    </row>
    <row r="26" spans="3:17">
      <c r="E26" s="8">
        <f t="shared" si="5"/>
        <v>48</v>
      </c>
      <c r="F26">
        <f t="shared" si="1"/>
        <v>0.54400000000000004</v>
      </c>
      <c r="G26">
        <f t="shared" si="6"/>
        <v>0.68628452148399943</v>
      </c>
      <c r="H26">
        <f t="shared" si="2"/>
        <v>0.17100832386737833</v>
      </c>
      <c r="J26" s="48">
        <v>0</v>
      </c>
      <c r="K26" s="73">
        <v>0.7</v>
      </c>
      <c r="L26" s="8">
        <f t="shared" si="7"/>
        <v>115.20000000000005</v>
      </c>
      <c r="M26">
        <f t="shared" si="0"/>
        <v>0.21959999999999991</v>
      </c>
      <c r="N26">
        <f t="shared" si="3"/>
        <v>3.5548582345642652</v>
      </c>
      <c r="O26">
        <f t="shared" si="4"/>
        <v>2.1239033085387606</v>
      </c>
      <c r="Q26" s="73">
        <v>0.7</v>
      </c>
    </row>
    <row r="27" spans="3:17">
      <c r="E27" s="8">
        <f t="shared" si="5"/>
        <v>47.75</v>
      </c>
      <c r="F27">
        <f t="shared" si="1"/>
        <v>0.54481249999999992</v>
      </c>
      <c r="G27">
        <f t="shared" si="6"/>
        <v>0.68178206945502717</v>
      </c>
      <c r="H27">
        <f t="shared" si="2"/>
        <v>0.16988418788597098</v>
      </c>
      <c r="L27" s="8">
        <f t="shared" si="7"/>
        <v>114.60000000000005</v>
      </c>
      <c r="M27">
        <f t="shared" si="0"/>
        <v>0.22079999999999989</v>
      </c>
      <c r="N27">
        <f t="shared" si="3"/>
        <v>3.5248194605650052</v>
      </c>
      <c r="O27">
        <f t="shared" si="4"/>
        <v>2.10593076090111</v>
      </c>
    </row>
    <row r="28" spans="3:17">
      <c r="E28" s="8">
        <f t="shared" si="5"/>
        <v>47.5</v>
      </c>
      <c r="F28">
        <f t="shared" si="1"/>
        <v>0.54562500000000003</v>
      </c>
      <c r="G28">
        <f t="shared" si="6"/>
        <v>0.67729143363274069</v>
      </c>
      <c r="H28">
        <f t="shared" si="2"/>
        <v>0.16876300095986477</v>
      </c>
      <c r="L28" s="8">
        <f t="shared" si="7"/>
        <v>114.00000000000006</v>
      </c>
      <c r="M28">
        <f t="shared" si="0"/>
        <v>0.22199999999999989</v>
      </c>
      <c r="N28">
        <f t="shared" si="3"/>
        <v>3.4949497424387608</v>
      </c>
      <c r="O28">
        <f t="shared" si="4"/>
        <v>2.0880593530381382</v>
      </c>
    </row>
    <row r="29" spans="3:17">
      <c r="E29" s="8">
        <f t="shared" si="5"/>
        <v>47.25</v>
      </c>
      <c r="F29">
        <f t="shared" si="1"/>
        <v>0.54643750000000002</v>
      </c>
      <c r="G29">
        <f t="shared" si="6"/>
        <v>0.67281257404617745</v>
      </c>
      <c r="H29">
        <f t="shared" si="2"/>
        <v>0.16764475311808616</v>
      </c>
      <c r="L29" s="8">
        <f t="shared" si="7"/>
        <v>113.40000000000006</v>
      </c>
      <c r="M29">
        <f t="shared" si="0"/>
        <v>0.22319999999999987</v>
      </c>
      <c r="N29">
        <f t="shared" si="3"/>
        <v>3.4652481010217664</v>
      </c>
      <c r="O29">
        <f t="shared" si="4"/>
        <v>2.0702884990131918</v>
      </c>
    </row>
    <row r="30" spans="3:17">
      <c r="E30" s="8">
        <f t="shared" si="5"/>
        <v>47</v>
      </c>
      <c r="F30">
        <f t="shared" si="1"/>
        <v>0.54725000000000001</v>
      </c>
      <c r="G30">
        <f t="shared" si="6"/>
        <v>0.66834545089851183</v>
      </c>
      <c r="H30">
        <f t="shared" si="2"/>
        <v>0.1665294344330786</v>
      </c>
      <c r="L30" s="8">
        <f t="shared" si="7"/>
        <v>112.80000000000007</v>
      </c>
      <c r="M30">
        <f t="shared" si="0"/>
        <v>0.22439999999999985</v>
      </c>
      <c r="N30">
        <f t="shared" si="3"/>
        <v>3.4357135623556045</v>
      </c>
      <c r="O30">
        <f t="shared" si="4"/>
        <v>2.0526176160091882</v>
      </c>
    </row>
    <row r="31" spans="3:17">
      <c r="E31" s="8">
        <f t="shared" si="5"/>
        <v>46.75</v>
      </c>
      <c r="F31">
        <f t="shared" si="1"/>
        <v>0.54806250000000001</v>
      </c>
      <c r="G31">
        <f t="shared" si="6"/>
        <v>0.6638900245661169</v>
      </c>
      <c r="H31">
        <f t="shared" si="2"/>
        <v>0.16541703502046851</v>
      </c>
      <c r="L31" s="8">
        <f t="shared" si="7"/>
        <v>112.20000000000007</v>
      </c>
      <c r="M31">
        <f t="shared" si="0"/>
        <v>0.22559999999999986</v>
      </c>
      <c r="N31">
        <f t="shared" si="3"/>
        <v>3.4063451576750881</v>
      </c>
      <c r="O31">
        <f t="shared" si="4"/>
        <v>2.0350461243212474</v>
      </c>
    </row>
    <row r="32" spans="3:17">
      <c r="C32" s="72">
        <v>160</v>
      </c>
      <c r="D32" s="71">
        <v>0.32</v>
      </c>
      <c r="E32" s="8">
        <f t="shared" si="5"/>
        <v>46.5</v>
      </c>
      <c r="F32">
        <f t="shared" si="1"/>
        <v>0.548875</v>
      </c>
      <c r="G32">
        <f t="shared" si="6"/>
        <v>0.65944625559763104</v>
      </c>
      <c r="H32">
        <f t="shared" si="2"/>
        <v>0.16430754503883266</v>
      </c>
      <c r="J32" s="72">
        <v>160</v>
      </c>
      <c r="L32" s="8">
        <f t="shared" si="7"/>
        <v>111.60000000000008</v>
      </c>
      <c r="M32">
        <f t="shared" si="0"/>
        <v>0.22679999999999984</v>
      </c>
      <c r="N32">
        <f t="shared" si="3"/>
        <v>3.3771419233958011</v>
      </c>
      <c r="O32">
        <f t="shared" si="4"/>
        <v>2.0175734473491129</v>
      </c>
    </row>
    <row r="33" spans="3:15">
      <c r="C33" s="72">
        <v>140</v>
      </c>
      <c r="D33" s="71">
        <v>0.34</v>
      </c>
      <c r="E33" s="8">
        <f t="shared" si="5"/>
        <v>46.25</v>
      </c>
      <c r="F33">
        <f t="shared" si="1"/>
        <v>0.5496875</v>
      </c>
      <c r="G33">
        <f t="shared" si="6"/>
        <v>0.65501410471303034</v>
      </c>
      <c r="H33">
        <f t="shared" si="2"/>
        <v>0.16320095468946733</v>
      </c>
      <c r="J33" s="72">
        <v>140</v>
      </c>
      <c r="L33" s="8">
        <f t="shared" si="7"/>
        <v>111.00000000000009</v>
      </c>
      <c r="M33">
        <f t="shared" si="0"/>
        <v>0.22799999999999981</v>
      </c>
      <c r="N33">
        <f t="shared" si="3"/>
        <v>3.3481029011013059</v>
      </c>
      <c r="O33">
        <f t="shared" si="4"/>
        <v>2.0001990115893844</v>
      </c>
    </row>
    <row r="34" spans="3:15">
      <c r="C34" s="72">
        <v>120</v>
      </c>
      <c r="D34" s="71">
        <v>0.36</v>
      </c>
      <c r="E34" s="8">
        <f t="shared" si="5"/>
        <v>46</v>
      </c>
      <c r="F34">
        <f t="shared" si="1"/>
        <v>0.55049999999999999</v>
      </c>
      <c r="G34">
        <f t="shared" si="6"/>
        <v>0.65059353280270815</v>
      </c>
      <c r="H34">
        <f t="shared" si="2"/>
        <v>0.16209725421615823</v>
      </c>
      <c r="J34" s="72">
        <v>120</v>
      </c>
      <c r="K34" s="71">
        <v>0.21</v>
      </c>
      <c r="L34" s="8">
        <f t="shared" si="7"/>
        <v>110.40000000000009</v>
      </c>
      <c r="M34">
        <f t="shared" si="0"/>
        <v>0.22919999999999982</v>
      </c>
      <c r="N34">
        <f t="shared" si="3"/>
        <v>3.3192271375300382</v>
      </c>
      <c r="O34">
        <f t="shared" si="4"/>
        <v>1.9829222466275578</v>
      </c>
    </row>
    <row r="35" spans="3:15">
      <c r="C35" s="72">
        <v>100</v>
      </c>
      <c r="D35" s="71">
        <v>0.4</v>
      </c>
      <c r="E35" s="8">
        <f t="shared" si="5"/>
        <v>45.75</v>
      </c>
      <c r="F35">
        <f t="shared" si="1"/>
        <v>0.55131249999999998</v>
      </c>
      <c r="G35">
        <f t="shared" si="6"/>
        <v>0.64618450092655777</v>
      </c>
      <c r="H35">
        <f t="shared" si="2"/>
        <v>0.16099643390495283</v>
      </c>
      <c r="J35" s="72">
        <v>100</v>
      </c>
      <c r="K35" s="71">
        <v>0.25</v>
      </c>
      <c r="L35" s="8">
        <f t="shared" si="7"/>
        <v>109.8000000000001</v>
      </c>
      <c r="M35">
        <f t="shared" si="0"/>
        <v>0.2303999999999998</v>
      </c>
      <c r="N35">
        <f t="shared" si="3"/>
        <v>3.2905136845618839</v>
      </c>
      <c r="O35">
        <f t="shared" si="4"/>
        <v>1.965742585129882</v>
      </c>
    </row>
    <row r="36" spans="3:15">
      <c r="C36" s="72">
        <v>80</v>
      </c>
      <c r="D36" s="71">
        <v>0.44</v>
      </c>
      <c r="E36" s="8">
        <f t="shared" si="5"/>
        <v>45.5</v>
      </c>
      <c r="F36">
        <f t="shared" si="1"/>
        <v>0.55212499999999998</v>
      </c>
      <c r="G36">
        <f t="shared" si="6"/>
        <v>0.64178697031306498</v>
      </c>
      <c r="H36">
        <f t="shared" si="2"/>
        <v>0.15989848408393353</v>
      </c>
      <c r="J36" s="72">
        <v>80</v>
      </c>
      <c r="K36" s="71">
        <v>0.3</v>
      </c>
      <c r="L36" s="8">
        <f t="shared" si="7"/>
        <v>109.2000000000001</v>
      </c>
      <c r="M36">
        <f t="shared" si="0"/>
        <v>0.23159999999999981</v>
      </c>
      <c r="N36">
        <f t="shared" si="3"/>
        <v>3.2619615992044513</v>
      </c>
      <c r="O36">
        <f t="shared" si="4"/>
        <v>1.9486594628350362</v>
      </c>
    </row>
    <row r="37" spans="3:15">
      <c r="D37" s="71">
        <v>0.7</v>
      </c>
      <c r="E37" s="8">
        <f t="shared" si="5"/>
        <v>45.25</v>
      </c>
      <c r="F37">
        <f t="shared" si="1"/>
        <v>0.55293749999999997</v>
      </c>
      <c r="G37">
        <f t="shared" si="6"/>
        <v>0.63740090235840341</v>
      </c>
      <c r="H37">
        <f t="shared" si="2"/>
        <v>0.15880339512299252</v>
      </c>
      <c r="J37" s="72">
        <v>60</v>
      </c>
      <c r="K37" s="71">
        <v>0.35</v>
      </c>
      <c r="L37" s="8">
        <f t="shared" si="7"/>
        <v>108.60000000000011</v>
      </c>
      <c r="M37">
        <f t="shared" si="0"/>
        <v>0.23279999999999978</v>
      </c>
      <c r="N37">
        <f t="shared" si="3"/>
        <v>3.2335699435790648</v>
      </c>
      <c r="O37">
        <f t="shared" si="4"/>
        <v>1.9316723185456373</v>
      </c>
    </row>
    <row r="38" spans="3:15">
      <c r="E38" s="8">
        <f t="shared" si="5"/>
        <v>45</v>
      </c>
      <c r="F38">
        <f t="shared" si="1"/>
        <v>0.55374999999999996</v>
      </c>
      <c r="G38">
        <f t="shared" si="6"/>
        <v>0.63302625862553663</v>
      </c>
      <c r="H38">
        <f t="shared" si="2"/>
        <v>0.15771115743360786</v>
      </c>
      <c r="J38" s="72">
        <v>40</v>
      </c>
      <c r="K38" s="71">
        <v>0.43</v>
      </c>
      <c r="L38" s="8">
        <f t="shared" si="7"/>
        <v>108.00000000000011</v>
      </c>
      <c r="M38">
        <f t="shared" si="0"/>
        <v>0.23399999999999976</v>
      </c>
      <c r="N38">
        <f t="shared" si="3"/>
        <v>3.2053377849064537</v>
      </c>
      <c r="O38">
        <f t="shared" si="4"/>
        <v>1.9147805941195726</v>
      </c>
    </row>
    <row r="39" spans="3:15">
      <c r="E39" s="8">
        <f t="shared" si="5"/>
        <v>44.75</v>
      </c>
      <c r="F39">
        <f t="shared" si="1"/>
        <v>0.55456249999999996</v>
      </c>
      <c r="G39">
        <f t="shared" si="6"/>
        <v>0.62866300084332616</v>
      </c>
      <c r="H39">
        <f t="shared" si="2"/>
        <v>0.15662176146862139</v>
      </c>
      <c r="J39" s="72">
        <v>25</v>
      </c>
      <c r="K39" s="71">
        <v>0.45</v>
      </c>
      <c r="L39" s="8">
        <f t="shared" si="7"/>
        <v>107.40000000000012</v>
      </c>
      <c r="M39">
        <f t="shared" si="0"/>
        <v>0.23519999999999977</v>
      </c>
      <c r="N39">
        <f t="shared" si="3"/>
        <v>3.1772641954921816</v>
      </c>
      <c r="O39">
        <f t="shared" si="4"/>
        <v>1.8979837344611765</v>
      </c>
    </row>
    <row r="40" spans="3:15">
      <c r="E40" s="8">
        <f t="shared" si="5"/>
        <v>44.5</v>
      </c>
      <c r="F40">
        <f t="shared" si="1"/>
        <v>0.55537499999999995</v>
      </c>
      <c r="G40">
        <f t="shared" si="6"/>
        <v>0.62431109090564496</v>
      </c>
      <c r="H40">
        <f t="shared" si="2"/>
        <v>0.15553519772201774</v>
      </c>
      <c r="K40" s="71">
        <v>0.7</v>
      </c>
      <c r="L40" s="8">
        <f t="shared" si="7"/>
        <v>106.80000000000013</v>
      </c>
      <c r="M40">
        <f t="shared" si="0"/>
        <v>0.23639999999999975</v>
      </c>
      <c r="N40">
        <f t="shared" si="3"/>
        <v>3.1493482527117997</v>
      </c>
      <c r="O40">
        <f t="shared" si="4"/>
        <v>1.8812811875122444</v>
      </c>
    </row>
    <row r="41" spans="3:15">
      <c r="E41" s="8">
        <f t="shared" si="5"/>
        <v>44.25</v>
      </c>
      <c r="F41">
        <f t="shared" si="1"/>
        <v>0.55618749999999995</v>
      </c>
      <c r="G41">
        <f t="shared" si="6"/>
        <v>0.61997049087049694</v>
      </c>
      <c r="H41">
        <f t="shared" si="2"/>
        <v>0.15445145672870478</v>
      </c>
      <c r="L41" s="8">
        <f t="shared" si="7"/>
        <v>106.20000000000013</v>
      </c>
      <c r="M41">
        <f t="shared" si="0"/>
        <v>0.23759999999999973</v>
      </c>
      <c r="N41">
        <f t="shared" si="3"/>
        <v>3.121589038995741</v>
      </c>
      <c r="O41">
        <f t="shared" si="4"/>
        <v>1.864672404242895</v>
      </c>
    </row>
    <row r="42" spans="3:15">
      <c r="E42" s="8">
        <f t="shared" si="5"/>
        <v>44</v>
      </c>
      <c r="F42">
        <f t="shared" si="1"/>
        <v>0.55699999999999994</v>
      </c>
      <c r="G42">
        <f t="shared" si="6"/>
        <v>0.61564116295914129</v>
      </c>
      <c r="H42">
        <f t="shared" si="2"/>
        <v>0.15337052906429555</v>
      </c>
      <c r="L42" s="8">
        <f t="shared" si="7"/>
        <v>105.60000000000014</v>
      </c>
      <c r="M42">
        <f t="shared" si="0"/>
        <v>0.23879999999999973</v>
      </c>
      <c r="N42">
        <f t="shared" si="3"/>
        <v>3.0939856418139677</v>
      </c>
      <c r="O42">
        <f t="shared" si="4"/>
        <v>1.8481568386422842</v>
      </c>
    </row>
    <row r="43" spans="3:15">
      <c r="E43" s="8">
        <f t="shared" si="5"/>
        <v>43.75</v>
      </c>
      <c r="F43">
        <f t="shared" si="1"/>
        <v>0.55781249999999993</v>
      </c>
      <c r="G43">
        <f t="shared" si="6"/>
        <v>0.6113230695552232</v>
      </c>
      <c r="H43">
        <f t="shared" si="2"/>
        <v>0.15229240534489166</v>
      </c>
      <c r="L43" s="8">
        <f t="shared" si="7"/>
        <v>105.00000000000014</v>
      </c>
      <c r="M43">
        <f t="shared" si="0"/>
        <v>0.23999999999999971</v>
      </c>
      <c r="N43">
        <f t="shared" si="3"/>
        <v>3.0665371536603714</v>
      </c>
      <c r="O43">
        <f t="shared" si="4"/>
        <v>1.8317339477091745</v>
      </c>
    </row>
    <row r="44" spans="3:15">
      <c r="E44" s="8">
        <f t="shared" si="5"/>
        <v>43.5</v>
      </c>
      <c r="F44">
        <f t="shared" si="1"/>
        <v>0.55862499999999993</v>
      </c>
      <c r="G44">
        <f t="shared" si="6"/>
        <v>0.6070161732039101</v>
      </c>
      <c r="H44">
        <f t="shared" si="2"/>
        <v>0.15121707622686781</v>
      </c>
      <c r="L44" s="8">
        <f t="shared" si="7"/>
        <v>104.40000000000015</v>
      </c>
      <c r="M44">
        <f t="shared" si="0"/>
        <v>0.24119999999999969</v>
      </c>
      <c r="N44">
        <f t="shared" si="3"/>
        <v>3.0392426720369352</v>
      </c>
      <c r="O44">
        <f t="shared" si="4"/>
        <v>1.8154031914423656</v>
      </c>
    </row>
    <row r="45" spans="3:15">
      <c r="E45" s="8">
        <f t="shared" si="5"/>
        <v>43.25</v>
      </c>
      <c r="F45">
        <f t="shared" si="1"/>
        <v>0.55943750000000003</v>
      </c>
      <c r="G45">
        <f t="shared" si="6"/>
        <v>0.60272043661103247</v>
      </c>
      <c r="H45">
        <f t="shared" si="2"/>
        <v>0.15014453240665807</v>
      </c>
      <c r="L45" s="8">
        <f t="shared" si="7"/>
        <v>103.80000000000015</v>
      </c>
      <c r="M45">
        <f t="shared" si="0"/>
        <v>0.2423999999999997</v>
      </c>
      <c r="N45">
        <f t="shared" si="3"/>
        <v>3.0121012994376741</v>
      </c>
      <c r="O45">
        <f t="shared" si="4"/>
        <v>1.7991640328309908</v>
      </c>
    </row>
    <row r="46" spans="3:15">
      <c r="E46" s="8">
        <f t="shared" si="5"/>
        <v>43</v>
      </c>
      <c r="F46">
        <f t="shared" si="1"/>
        <v>0.56025000000000003</v>
      </c>
      <c r="G46">
        <f t="shared" si="6"/>
        <v>0.59843582264223205</v>
      </c>
      <c r="H46">
        <f t="shared" si="2"/>
        <v>0.14907476462054303</v>
      </c>
      <c r="L46" s="8">
        <f t="shared" si="7"/>
        <v>103.20000000000016</v>
      </c>
      <c r="M46">
        <f t="shared" si="0"/>
        <v>0.24359999999999968</v>
      </c>
      <c r="N46">
        <f t="shared" si="3"/>
        <v>2.9851121433323522</v>
      </c>
      <c r="O46">
        <f t="shared" si="4"/>
        <v>1.7830159378446826</v>
      </c>
    </row>
    <row r="47" spans="3:15">
      <c r="E47" s="8">
        <f t="shared" si="5"/>
        <v>42.75</v>
      </c>
      <c r="F47">
        <f t="shared" si="1"/>
        <v>0.56106250000000002</v>
      </c>
      <c r="G47">
        <f t="shared" si="6"/>
        <v>0.59416229432211221</v>
      </c>
      <c r="H47">
        <f t="shared" si="2"/>
        <v>0.14800776364443871</v>
      </c>
      <c r="L47" s="8">
        <f t="shared" si="7"/>
        <v>102.60000000000016</v>
      </c>
      <c r="M47">
        <f t="shared" si="0"/>
        <v>0.24479999999999968</v>
      </c>
      <c r="N47">
        <f t="shared" si="3"/>
        <v>2.9582743161499798</v>
      </c>
      <c r="O47">
        <f t="shared" si="4"/>
        <v>1.7669583754236127</v>
      </c>
    </row>
    <row r="48" spans="3:15">
      <c r="E48" s="8">
        <f t="shared" si="5"/>
        <v>42.5</v>
      </c>
      <c r="F48">
        <f t="shared" si="1"/>
        <v>0.56187500000000001</v>
      </c>
      <c r="G48">
        <f t="shared" si="6"/>
        <v>0.58989981483339748</v>
      </c>
      <c r="H48">
        <f t="shared" si="2"/>
        <v>0.14694352029368668</v>
      </c>
      <c r="L48" s="8">
        <f t="shared" si="7"/>
        <v>102.00000000000017</v>
      </c>
      <c r="M48">
        <f t="shared" si="0"/>
        <v>0.24599999999999966</v>
      </c>
      <c r="N48">
        <f t="shared" si="3"/>
        <v>2.9315869352621182</v>
      </c>
      <c r="O48">
        <f t="shared" si="4"/>
        <v>1.7509908174684097</v>
      </c>
    </row>
    <row r="49" spans="5:15">
      <c r="E49" s="8">
        <f t="shared" si="5"/>
        <v>42.25</v>
      </c>
      <c r="F49">
        <f t="shared" si="1"/>
        <v>0.56268750000000001</v>
      </c>
      <c r="G49">
        <f t="shared" si="6"/>
        <v>0.58564834751609585</v>
      </c>
      <c r="H49">
        <f t="shared" si="2"/>
        <v>0.14588202542284534</v>
      </c>
      <c r="L49" s="8">
        <f t="shared" si="7"/>
        <v>101.40000000000018</v>
      </c>
      <c r="M49">
        <f t="shared" si="0"/>
        <v>0.24719999999999964</v>
      </c>
      <c r="N49">
        <f t="shared" si="3"/>
        <v>2.905049122965969</v>
      </c>
      <c r="O49">
        <f t="shared" si="4"/>
        <v>1.7351127388299608</v>
      </c>
    </row>
    <row r="50" spans="5:15">
      <c r="E50" s="8">
        <f t="shared" si="5"/>
        <v>42</v>
      </c>
      <c r="F50">
        <f t="shared" si="1"/>
        <v>0.5635</v>
      </c>
      <c r="G50">
        <f t="shared" si="6"/>
        <v>0.58140785586666688</v>
      </c>
      <c r="H50">
        <f t="shared" si="2"/>
        <v>0.14482326992548283</v>
      </c>
      <c r="L50" s="8">
        <f t="shared" si="7"/>
        <v>100.80000000000018</v>
      </c>
      <c r="M50">
        <f t="shared" si="0"/>
        <v>0.24839999999999962</v>
      </c>
      <c r="N50">
        <f t="shared" si="3"/>
        <v>2.8786600064672876</v>
      </c>
      <c r="O50">
        <f t="shared" si="4"/>
        <v>1.719323617299098</v>
      </c>
    </row>
    <row r="51" spans="5:15">
      <c r="E51" s="8">
        <f t="shared" si="5"/>
        <v>41.75</v>
      </c>
      <c r="F51">
        <f t="shared" si="1"/>
        <v>0.56431249999999999</v>
      </c>
      <c r="G51">
        <f t="shared" si="6"/>
        <v>0.5771783035371959</v>
      </c>
      <c r="H51">
        <f t="shared" si="2"/>
        <v>0.14376724473397107</v>
      </c>
      <c r="L51" s="8">
        <f t="shared" si="7"/>
        <v>100.20000000000019</v>
      </c>
      <c r="M51">
        <f t="shared" si="0"/>
        <v>0.24959999999999963</v>
      </c>
      <c r="N51">
        <f t="shared" si="3"/>
        <v>2.8524187178630935</v>
      </c>
      <c r="O51">
        <f t="shared" si="4"/>
        <v>1.703011574071899</v>
      </c>
    </row>
    <row r="52" spans="5:15">
      <c r="E52" s="8">
        <f t="shared" si="5"/>
        <v>41.5</v>
      </c>
      <c r="F52">
        <f t="shared" si="1"/>
        <v>0.56512499999999999</v>
      </c>
      <c r="G52">
        <f t="shared" si="6"/>
        <v>0.57295965433457252</v>
      </c>
      <c r="H52">
        <f t="shared" si="2"/>
        <v>0.14271394081928096</v>
      </c>
      <c r="L52" s="8">
        <f t="shared" si="7"/>
        <v>99.600000000000193</v>
      </c>
      <c r="M52">
        <f t="shared" si="0"/>
        <v>0.2509999999999995</v>
      </c>
      <c r="N52">
        <f t="shared" si="3"/>
        <v>2.8242865290432904</v>
      </c>
      <c r="O52">
        <f t="shared" si="4"/>
        <v>1.6858908769173562</v>
      </c>
    </row>
    <row r="53" spans="5:15">
      <c r="E53" s="8">
        <f t="shared" si="5"/>
        <v>41.25</v>
      </c>
      <c r="F53">
        <f t="shared" si="1"/>
        <v>0.56593749999999998</v>
      </c>
      <c r="G53">
        <f t="shared" si="6"/>
        <v>0.56875187221967505</v>
      </c>
      <c r="H53">
        <f t="shared" si="2"/>
        <v>0.14166334919077922</v>
      </c>
      <c r="L53" s="8">
        <f t="shared" si="7"/>
        <v>99.000000000000199</v>
      </c>
      <c r="M53">
        <f t="shared" si="0"/>
        <v>0.2524999999999995</v>
      </c>
      <c r="N53">
        <f t="shared" si="3"/>
        <v>2.7953497273479497</v>
      </c>
      <c r="O53">
        <f t="shared" si="4"/>
        <v>1.668596543305463</v>
      </c>
    </row>
    <row r="54" spans="5:15">
      <c r="E54" s="8">
        <f t="shared" si="5"/>
        <v>41</v>
      </c>
      <c r="F54">
        <f t="shared" si="1"/>
        <v>0.56674999999999998</v>
      </c>
      <c r="G54">
        <f t="shared" si="6"/>
        <v>0.5645549213065586</v>
      </c>
      <c r="H54">
        <f t="shared" si="2"/>
        <v>0.1406154608960262</v>
      </c>
      <c r="L54" s="8">
        <f t="shared" si="7"/>
        <v>98.400000000000205</v>
      </c>
      <c r="M54">
        <f t="shared" si="0"/>
        <v>0.2539999999999995</v>
      </c>
      <c r="N54">
        <f t="shared" si="3"/>
        <v>2.7666387503369791</v>
      </c>
      <c r="O54">
        <f t="shared" si="4"/>
        <v>1.6514370233094826</v>
      </c>
    </row>
    <row r="55" spans="5:15">
      <c r="E55" s="8">
        <f t="shared" si="5"/>
        <v>40.75</v>
      </c>
      <c r="F55">
        <f t="shared" si="1"/>
        <v>0.56756249999999997</v>
      </c>
      <c r="G55">
        <f t="shared" si="6"/>
        <v>0.56036876586165096</v>
      </c>
      <c r="H55">
        <f t="shared" si="2"/>
        <v>0.13957026702057518</v>
      </c>
      <c r="L55" s="8">
        <f t="shared" si="7"/>
        <v>97.80000000000021</v>
      </c>
      <c r="M55">
        <f t="shared" si="0"/>
        <v>0.25549999999999945</v>
      </c>
      <c r="N55">
        <f t="shared" si="3"/>
        <v>2.7381513273613489</v>
      </c>
      <c r="O55">
        <f t="shared" si="4"/>
        <v>1.6344109632633599</v>
      </c>
    </row>
    <row r="56" spans="5:15">
      <c r="E56" s="8">
        <f t="shared" si="5"/>
        <v>40.5</v>
      </c>
      <c r="F56">
        <f t="shared" si="1"/>
        <v>0.56837499999999996</v>
      </c>
      <c r="G56">
        <f t="shared" si="6"/>
        <v>0.55619337030295046</v>
      </c>
      <c r="H56">
        <f t="shared" si="2"/>
        <v>0.1385277586877727</v>
      </c>
      <c r="L56" s="8">
        <f t="shared" si="7"/>
        <v>97.200000000000216</v>
      </c>
      <c r="M56">
        <f t="shared" si="0"/>
        <v>0.25699999999999945</v>
      </c>
      <c r="N56">
        <f t="shared" si="3"/>
        <v>2.7098852168499024</v>
      </c>
      <c r="O56">
        <f t="shared" si="4"/>
        <v>1.6175170268104782</v>
      </c>
    </row>
    <row r="57" spans="5:15">
      <c r="E57" s="8">
        <f t="shared" si="5"/>
        <v>40.25</v>
      </c>
      <c r="F57">
        <f t="shared" si="1"/>
        <v>0.56918749999999996</v>
      </c>
      <c r="G57">
        <f t="shared" si="6"/>
        <v>0.55202869919923114</v>
      </c>
      <c r="H57">
        <f t="shared" si="2"/>
        <v>0.13748792705856042</v>
      </c>
      <c r="L57" s="8">
        <f t="shared" si="7"/>
        <v>96.600000000000222</v>
      </c>
      <c r="M57">
        <f t="shared" si="0"/>
        <v>0.25849999999999945</v>
      </c>
      <c r="N57">
        <f t="shared" si="3"/>
        <v>2.6818382058517427</v>
      </c>
      <c r="O57">
        <f t="shared" si="4"/>
        <v>1.6007538946316644</v>
      </c>
    </row>
    <row r="58" spans="5:15">
      <c r="E58" s="8">
        <f t="shared" si="5"/>
        <v>40</v>
      </c>
      <c r="F58">
        <f t="shared" si="1"/>
        <v>0.56999999999999995</v>
      </c>
      <c r="G58">
        <f t="shared" si="6"/>
        <v>0.54787471726925219</v>
      </c>
      <c r="H58">
        <f t="shared" si="2"/>
        <v>0.13645076333127798</v>
      </c>
      <c r="L58" s="8">
        <f t="shared" si="7"/>
        <v>96.000000000000227</v>
      </c>
      <c r="M58">
        <f t="shared" si="0"/>
        <v>0.25999999999999945</v>
      </c>
      <c r="N58">
        <f t="shared" si="3"/>
        <v>2.6540081095871892</v>
      </c>
      <c r="O58">
        <f t="shared" si="4"/>
        <v>1.584120264178281</v>
      </c>
    </row>
    <row r="59" spans="5:15">
      <c r="E59" s="8">
        <f t="shared" si="5"/>
        <v>39.75</v>
      </c>
      <c r="F59">
        <f t="shared" si="1"/>
        <v>0.57081249999999994</v>
      </c>
      <c r="G59">
        <f t="shared" si="6"/>
        <v>0.54373138938097154</v>
      </c>
      <c r="H59">
        <f t="shared" si="2"/>
        <v>0.1354162587414672</v>
      </c>
      <c r="L59" s="8">
        <f t="shared" si="7"/>
        <v>95.400000000000233</v>
      </c>
      <c r="M59">
        <f t="shared" si="0"/>
        <v>0.2614999999999994</v>
      </c>
      <c r="N59">
        <f t="shared" si="3"/>
        <v>2.6263927710071311</v>
      </c>
      <c r="O59">
        <f t="shared" si="4"/>
        <v>1.5676148494102966</v>
      </c>
    </row>
    <row r="60" spans="5:15">
      <c r="E60" s="8">
        <f t="shared" si="5"/>
        <v>39.5</v>
      </c>
      <c r="F60">
        <f t="shared" si="1"/>
        <v>0.57162499999999994</v>
      </c>
      <c r="G60">
        <f t="shared" si="6"/>
        <v>0.5395986805507661</v>
      </c>
      <c r="H60">
        <f t="shared" si="2"/>
        <v>0.13438440456167766</v>
      </c>
      <c r="L60" s="8">
        <f t="shared" si="7"/>
        <v>94.800000000000239</v>
      </c>
      <c r="M60">
        <f t="shared" si="0"/>
        <v>0.2629999999999994</v>
      </c>
      <c r="N60">
        <f t="shared" si="3"/>
        <v>2.5989900603605745</v>
      </c>
      <c r="O60">
        <f t="shared" si="4"/>
        <v>1.5512363805392275</v>
      </c>
    </row>
    <row r="61" spans="5:15">
      <c r="E61" s="8">
        <f t="shared" si="5"/>
        <v>39.25</v>
      </c>
      <c r="F61">
        <f t="shared" si="1"/>
        <v>0.57243749999999993</v>
      </c>
      <c r="G61">
        <f t="shared" si="6"/>
        <v>0.53547655594265509</v>
      </c>
      <c r="H61">
        <f t="shared" si="2"/>
        <v>0.13335519210127306</v>
      </c>
      <c r="L61" s="8">
        <f t="shared" si="7"/>
        <v>94.200000000000244</v>
      </c>
      <c r="M61">
        <f t="shared" si="0"/>
        <v>0.2644999999999994</v>
      </c>
      <c r="N61">
        <f t="shared" si="3"/>
        <v>2.5717978747702324</v>
      </c>
      <c r="O61">
        <f t="shared" si="4"/>
        <v>1.534983603775844</v>
      </c>
    </row>
    <row r="62" spans="5:15">
      <c r="E62" s="8">
        <f t="shared" si="5"/>
        <v>39</v>
      </c>
      <c r="F62">
        <f t="shared" si="1"/>
        <v>0.57325000000000004</v>
      </c>
      <c r="G62">
        <f t="shared" si="6"/>
        <v>0.53136498086752937</v>
      </c>
      <c r="H62">
        <f t="shared" si="2"/>
        <v>0.13232861270623936</v>
      </c>
      <c r="L62" s="8">
        <f t="shared" si="7"/>
        <v>93.60000000000025</v>
      </c>
      <c r="M62">
        <f t="shared" si="0"/>
        <v>0.26599999999999935</v>
      </c>
      <c r="N62">
        <f t="shared" si="3"/>
        <v>2.5448141378159632</v>
      </c>
      <c r="O62">
        <f t="shared" si="4"/>
        <v>1.518855281082542</v>
      </c>
    </row>
    <row r="63" spans="5:15">
      <c r="E63" s="8">
        <f t="shared" si="5"/>
        <v>38.75</v>
      </c>
      <c r="F63">
        <f t="shared" si="1"/>
        <v>0.57406249999999992</v>
      </c>
      <c r="G63">
        <f t="shared" si="6"/>
        <v>0.52726392078238538</v>
      </c>
      <c r="H63">
        <f t="shared" si="2"/>
        <v>0.13130465775899358</v>
      </c>
      <c r="L63" s="8">
        <f t="shared" si="7"/>
        <v>93.000000000000256</v>
      </c>
      <c r="M63">
        <f t="shared" si="0"/>
        <v>0.26749999999999935</v>
      </c>
      <c r="N63">
        <f t="shared" si="3"/>
        <v>2.5180367991258916</v>
      </c>
      <c r="O63">
        <f t="shared" si="4"/>
        <v>1.5028501899302722</v>
      </c>
    </row>
    <row r="64" spans="5:15">
      <c r="E64" s="8">
        <f t="shared" si="5"/>
        <v>38.5</v>
      </c>
      <c r="F64">
        <f t="shared" si="1"/>
        <v>0.57487500000000002</v>
      </c>
      <c r="G64">
        <f t="shared" si="6"/>
        <v>0.52317334128956317</v>
      </c>
      <c r="H64">
        <f t="shared" si="2"/>
        <v>0.1302833186781942</v>
      </c>
      <c r="L64" s="8">
        <f t="shared" si="7"/>
        <v>92.400000000000261</v>
      </c>
      <c r="M64">
        <f t="shared" si="0"/>
        <v>0.26899999999999935</v>
      </c>
      <c r="N64">
        <f t="shared" si="3"/>
        <v>2.4914638339750632</v>
      </c>
      <c r="O64">
        <f t="shared" si="4"/>
        <v>1.4869671230599404</v>
      </c>
    </row>
    <row r="65" spans="5:15">
      <c r="E65" s="8">
        <f t="shared" si="5"/>
        <v>38.25</v>
      </c>
      <c r="F65">
        <f t="shared" si="1"/>
        <v>0.57568750000000002</v>
      </c>
      <c r="G65">
        <f t="shared" si="6"/>
        <v>0.51909320813599058</v>
      </c>
      <c r="H65">
        <f t="shared" si="2"/>
        <v>0.12926458691855258</v>
      </c>
      <c r="L65" s="8">
        <f t="shared" si="7"/>
        <v>91.800000000000267</v>
      </c>
      <c r="M65">
        <f t="shared" si="0"/>
        <v>0.27049999999999935</v>
      </c>
      <c r="N65">
        <f t="shared" si="3"/>
        <v>2.4650932428914514</v>
      </c>
      <c r="O65">
        <f t="shared" si="4"/>
        <v>1.4712048882481734</v>
      </c>
    </row>
    <row r="66" spans="5:15">
      <c r="E66" s="8">
        <f t="shared" si="5"/>
        <v>38</v>
      </c>
      <c r="F66">
        <f t="shared" si="1"/>
        <v>0.57650000000000001</v>
      </c>
      <c r="G66">
        <f t="shared" si="6"/>
        <v>0.51502348721243019</v>
      </c>
      <c r="H66">
        <f t="shared" si="2"/>
        <v>0.12824845397064544</v>
      </c>
      <c r="L66" s="8">
        <f t="shared" si="7"/>
        <v>91.200000000000273</v>
      </c>
      <c r="M66">
        <f t="shared" si="0"/>
        <v>0.2719999999999993</v>
      </c>
      <c r="N66">
        <f t="shared" si="3"/>
        <v>2.4389230512691729</v>
      </c>
      <c r="O66">
        <f t="shared" si="4"/>
        <v>1.4555623080773639</v>
      </c>
    </row>
    <row r="67" spans="5:15">
      <c r="E67" s="8">
        <f t="shared" si="5"/>
        <v>37.75</v>
      </c>
      <c r="F67">
        <f t="shared" si="1"/>
        <v>0.57731250000000001</v>
      </c>
      <c r="G67">
        <f t="shared" si="6"/>
        <v>0.51096414455273342</v>
      </c>
      <c r="H67">
        <f t="shared" si="2"/>
        <v>0.12723491136072868</v>
      </c>
      <c r="L67" s="8">
        <f t="shared" si="7"/>
        <v>90.600000000000279</v>
      </c>
      <c r="M67">
        <f t="shared" si="0"/>
        <v>0.2734999999999993</v>
      </c>
      <c r="N67">
        <f t="shared" si="3"/>
        <v>2.4129513089887524</v>
      </c>
      <c r="O67">
        <f t="shared" si="4"/>
        <v>1.4400382197099002</v>
      </c>
    </row>
    <row r="68" spans="5:15">
      <c r="E68" s="8">
        <f t="shared" si="5"/>
        <v>37.5</v>
      </c>
      <c r="F68">
        <f t="shared" si="1"/>
        <v>0.578125</v>
      </c>
      <c r="G68">
        <f t="shared" si="6"/>
        <v>0.50691514633309609</v>
      </c>
      <c r="H68">
        <f t="shared" si="2"/>
        <v>0.12622395065055231</v>
      </c>
      <c r="L68" s="8">
        <f t="shared" si="7"/>
        <v>90.000000000000284</v>
      </c>
      <c r="M68">
        <f t="shared" si="0"/>
        <v>0.2749999999999993</v>
      </c>
      <c r="N68">
        <f t="shared" si="3"/>
        <v>2.387176090044294</v>
      </c>
      <c r="O68">
        <f t="shared" si="4"/>
        <v>1.424631474666497</v>
      </c>
    </row>
    <row r="69" spans="5:15">
      <c r="E69" s="8">
        <f t="shared" si="5"/>
        <v>37.25</v>
      </c>
      <c r="F69">
        <f t="shared" si="1"/>
        <v>0.57893749999999999</v>
      </c>
      <c r="G69">
        <f t="shared" si="6"/>
        <v>0.50287645887132248</v>
      </c>
      <c r="H69">
        <f t="shared" si="2"/>
        <v>0.12521556343717655</v>
      </c>
      <c r="L69" s="8">
        <f t="shared" si="7"/>
        <v>89.40000000000029</v>
      </c>
      <c r="M69">
        <f t="shared" si="0"/>
        <v>0.27649999999999925</v>
      </c>
      <c r="N69">
        <f t="shared" si="3"/>
        <v>2.3615954921774076</v>
      </c>
      <c r="O69">
        <f t="shared" si="4"/>
        <v>1.4093409386085325</v>
      </c>
    </row>
    <row r="70" spans="5:15">
      <c r="E70" s="8">
        <f t="shared" si="5"/>
        <v>37</v>
      </c>
      <c r="F70">
        <f t="shared" si="1"/>
        <v>0.57974999999999999</v>
      </c>
      <c r="G70">
        <f t="shared" si="6"/>
        <v>0.49884804862608989</v>
      </c>
      <c r="H70">
        <f t="shared" si="2"/>
        <v>0.12420974135278887</v>
      </c>
      <c r="L70" s="8">
        <f t="shared" si="7"/>
        <v>88.800000000000296</v>
      </c>
      <c r="M70">
        <f t="shared" si="0"/>
        <v>0.27799999999999925</v>
      </c>
      <c r="N70">
        <f t="shared" si="3"/>
        <v>2.3362076365177455</v>
      </c>
      <c r="O70">
        <f t="shared" si="4"/>
        <v>1.3941654911243171</v>
      </c>
    </row>
    <row r="71" spans="5:15">
      <c r="E71" s="8">
        <f t="shared" si="5"/>
        <v>36.75</v>
      </c>
      <c r="F71">
        <f t="shared" si="1"/>
        <v>0.58056249999999998</v>
      </c>
      <c r="G71">
        <f t="shared" si="6"/>
        <v>0.49482988219622104</v>
      </c>
      <c r="H71">
        <f t="shared" si="2"/>
        <v>0.12320647606452254</v>
      </c>
      <c r="L71" s="8">
        <f t="shared" si="7"/>
        <v>88.200000000000301</v>
      </c>
      <c r="M71">
        <f t="shared" si="0"/>
        <v>0.27949999999999925</v>
      </c>
      <c r="N71">
        <f t="shared" si="3"/>
        <v>2.3110106672300224</v>
      </c>
      <c r="O71">
        <f t="shared" si="4"/>
        <v>1.3791040255192051</v>
      </c>
    </row>
    <row r="72" spans="5:15">
      <c r="E72" s="8">
        <f t="shared" si="5"/>
        <v>36.5</v>
      </c>
      <c r="F72">
        <f t="shared" si="1"/>
        <v>0.58137499999999998</v>
      </c>
      <c r="G72">
        <f t="shared" si="6"/>
        <v>0.49082192631995925</v>
      </c>
      <c r="H72">
        <f t="shared" si="2"/>
        <v>0.12220575927427595</v>
      </c>
      <c r="L72" s="8">
        <f t="shared" si="7"/>
        <v>87.600000000000307</v>
      </c>
      <c r="M72">
        <f t="shared" si="0"/>
        <v>0.28099999999999925</v>
      </c>
      <c r="N72">
        <f t="shared" si="3"/>
        <v>2.2860027511673717</v>
      </c>
      <c r="O72">
        <f t="shared" si="4"/>
        <v>1.3641554486094714</v>
      </c>
    </row>
    <row r="73" spans="5:15">
      <c r="E73" s="8">
        <f t="shared" si="5"/>
        <v>36.25</v>
      </c>
      <c r="F73">
        <f t="shared" si="1"/>
        <v>0.58218749999999997</v>
      </c>
      <c r="G73">
        <f t="shared" si="6"/>
        <v>0.48682414787424833</v>
      </c>
      <c r="H73">
        <f t="shared" si="2"/>
        <v>0.12120758271853324</v>
      </c>
      <c r="L73" s="8">
        <f t="shared" si="7"/>
        <v>87.000000000000313</v>
      </c>
      <c r="M73">
        <f t="shared" si="0"/>
        <v>0.2824999999999992</v>
      </c>
      <c r="N73">
        <f t="shared" si="3"/>
        <v>2.2611820775309095</v>
      </c>
      <c r="O73">
        <f t="shared" si="4"/>
        <v>1.3493186805198734</v>
      </c>
    </row>
    <row r="74" spans="5:15">
      <c r="E74" s="8">
        <f t="shared" si="5"/>
        <v>36</v>
      </c>
      <c r="F74">
        <f t="shared" si="1"/>
        <v>0.58299999999999996</v>
      </c>
      <c r="G74">
        <f t="shared" si="6"/>
        <v>0.48283651387401755</v>
      </c>
      <c r="H74">
        <f t="shared" si="2"/>
        <v>0.12021193816818593</v>
      </c>
      <c r="L74" s="8">
        <f t="shared" si="7"/>
        <v>86.400000000000318</v>
      </c>
      <c r="M74">
        <f t="shared" si="0"/>
        <v>0.2839999999999992</v>
      </c>
      <c r="N74">
        <f t="shared" si="3"/>
        <v>2.2365468575353775</v>
      </c>
      <c r="O74">
        <f t="shared" si="4"/>
        <v>1.3345926544848241</v>
      </c>
    </row>
    <row r="75" spans="5:15">
      <c r="E75" s="8">
        <f t="shared" si="5"/>
        <v>35.75</v>
      </c>
      <c r="F75">
        <f t="shared" si="1"/>
        <v>0.58381249999999996</v>
      </c>
      <c r="G75">
        <f t="shared" si="6"/>
        <v>0.47885899147146982</v>
      </c>
      <c r="H75">
        <f t="shared" si="2"/>
        <v>0.11921881742835574</v>
      </c>
      <c r="L75" s="8">
        <f t="shared" si="7"/>
        <v>85.800000000000324</v>
      </c>
      <c r="M75">
        <f t="shared" si="0"/>
        <v>0.2854999999999992</v>
      </c>
      <c r="N75">
        <f t="shared" si="3"/>
        <v>2.2120953240807446</v>
      </c>
      <c r="O75">
        <f t="shared" si="4"/>
        <v>1.3199763166530993</v>
      </c>
    </row>
    <row r="76" spans="5:15">
      <c r="E76" s="8">
        <f t="shared" si="5"/>
        <v>35.5</v>
      </c>
      <c r="F76">
        <f t="shared" si="1"/>
        <v>0.58462499999999995</v>
      </c>
      <c r="G76">
        <f t="shared" si="6"/>
        <v>0.47489154795537608</v>
      </c>
      <c r="H76">
        <f t="shared" si="2"/>
        <v>0.11822821233821848</v>
      </c>
      <c r="L76" s="8">
        <f t="shared" si="7"/>
        <v>85.20000000000033</v>
      </c>
      <c r="M76">
        <f t="shared" si="0"/>
        <v>0.28699999999999914</v>
      </c>
      <c r="N76">
        <f t="shared" si="3"/>
        <v>2.1878257314296286</v>
      </c>
      <c r="O76">
        <f t="shared" si="4"/>
        <v>1.3054686258960075</v>
      </c>
    </row>
    <row r="77" spans="5:15">
      <c r="E77" s="8">
        <f t="shared" si="5"/>
        <v>35.25</v>
      </c>
      <c r="F77">
        <f t="shared" si="1"/>
        <v>0.58543749999999994</v>
      </c>
      <c r="G77">
        <f t="shared" si="6"/>
        <v>0.47093415075037182</v>
      </c>
      <c r="H77">
        <f t="shared" si="2"/>
        <v>0.11724011477082896</v>
      </c>
      <c r="L77" s="8">
        <f t="shared" si="7"/>
        <v>84.600000000000335</v>
      </c>
      <c r="M77">
        <f t="shared" si="0"/>
        <v>0.28849999999999915</v>
      </c>
      <c r="N77">
        <f t="shared" si="3"/>
        <v>2.1637363548904376</v>
      </c>
      <c r="O77">
        <f t="shared" si="4"/>
        <v>1.2910685536189481</v>
      </c>
    </row>
    <row r="78" spans="5:15">
      <c r="E78" s="8">
        <f t="shared" si="5"/>
        <v>35</v>
      </c>
      <c r="F78">
        <f t="shared" si="1"/>
        <v>0.58624999999999994</v>
      </c>
      <c r="G78">
        <f t="shared" si="6"/>
        <v>0.46698676741625983</v>
      </c>
      <c r="H78">
        <f t="shared" si="2"/>
        <v>0.116254516632947</v>
      </c>
      <c r="L78" s="8">
        <f t="shared" si="7"/>
        <v>84.000000000000341</v>
      </c>
      <c r="M78">
        <f t="shared" si="0"/>
        <v>0.28999999999999915</v>
      </c>
      <c r="N78">
        <f t="shared" si="3"/>
        <v>2.1398254905060967</v>
      </c>
      <c r="O78">
        <f t="shared" si="4"/>
        <v>1.2767750835762941</v>
      </c>
    </row>
    <row r="79" spans="5:15">
      <c r="E79" s="8">
        <f t="shared" si="5"/>
        <v>34.75</v>
      </c>
      <c r="F79">
        <f t="shared" si="1"/>
        <v>0.58706250000000004</v>
      </c>
      <c r="G79">
        <f t="shared" si="6"/>
        <v>0.46304936564731619</v>
      </c>
      <c r="H79">
        <f t="shared" si="2"/>
        <v>0.11527140986486466</v>
      </c>
      <c r="L79" s="8">
        <f t="shared" si="7"/>
        <v>83.400000000000347</v>
      </c>
      <c r="M79">
        <f t="shared" si="0"/>
        <v>0.29149999999999915</v>
      </c>
      <c r="N79">
        <f t="shared" si="3"/>
        <v>2.1160914547482577</v>
      </c>
      <c r="O79">
        <f t="shared" si="4"/>
        <v>1.2625872116895269</v>
      </c>
    </row>
    <row r="80" spans="5:15">
      <c r="E80" s="8">
        <f t="shared" si="5"/>
        <v>34.5</v>
      </c>
      <c r="F80">
        <f t="shared" si="1"/>
        <v>0.58787499999999993</v>
      </c>
      <c r="G80">
        <f t="shared" si="6"/>
        <v>0.45912191327160107</v>
      </c>
      <c r="H80">
        <f t="shared" si="2"/>
        <v>0.11429078644023424</v>
      </c>
      <c r="L80" s="8">
        <f t="shared" si="7"/>
        <v>82.800000000000352</v>
      </c>
      <c r="M80">
        <f t="shared" si="0"/>
        <v>0.29299999999999909</v>
      </c>
      <c r="N80">
        <f t="shared" si="3"/>
        <v>2.0925325842168716</v>
      </c>
      <c r="O80">
        <f t="shared" si="4"/>
        <v>1.2485039458685545</v>
      </c>
    </row>
    <row r="81" spans="5:15">
      <c r="E81" s="8">
        <f t="shared" si="5"/>
        <v>34.25</v>
      </c>
      <c r="F81">
        <f t="shared" si="1"/>
        <v>0.58868750000000003</v>
      </c>
      <c r="G81">
        <f t="shared" si="6"/>
        <v>0.45520437825027282</v>
      </c>
      <c r="H81">
        <f t="shared" si="2"/>
        <v>0.11331263836589758</v>
      </c>
      <c r="L81" s="8">
        <f t="shared" si="7"/>
        <v>82.200000000000358</v>
      </c>
      <c r="M81">
        <f t="shared" si="0"/>
        <v>0.2944999999999991</v>
      </c>
      <c r="N81">
        <f t="shared" si="3"/>
        <v>2.0691472353450169</v>
      </c>
      <c r="O81">
        <f t="shared" si="4"/>
        <v>1.2345243058361584</v>
      </c>
    </row>
    <row r="82" spans="5:15">
      <c r="E82" s="8">
        <f t="shared" si="5"/>
        <v>34</v>
      </c>
      <c r="F82">
        <f t="shared" si="1"/>
        <v>0.58949999999999991</v>
      </c>
      <c r="G82">
        <f t="shared" si="6"/>
        <v>0.45129672867690784</v>
      </c>
      <c r="H82">
        <f t="shared" si="2"/>
        <v>0.11233695768171631</v>
      </c>
      <c r="L82" s="8">
        <f t="shared" si="7"/>
        <v>81.600000000000364</v>
      </c>
      <c r="M82">
        <f t="shared" ref="M82:M145" si="8">IF(L82&lt;=25,$K$25+($K$26-$K$25)/25*(25-L82),IF(L82&lt;=40,$K$24+($K$25-$K$24)/15*(40-L82),IF(L82&lt;=60,$K$23+($K$24-$K$23)/20*(60-L82),IF(L82&lt;=80,$K$22+($K$23-$K$22)/20*(80-L82),IF(L82&lt;=100,$K$21+($K$22-$K$21)/20*(100-L82),IF(L82&lt;=120,$K$20+($K$21-$K$20)/20*(120-L82)))))))</f>
        <v>0.2959999999999991</v>
      </c>
      <c r="N82">
        <f t="shared" si="3"/>
        <v>2.0459337841088834</v>
      </c>
      <c r="O82">
        <f t="shared" si="4"/>
        <v>1.2206473229554917</v>
      </c>
    </row>
    <row r="83" spans="5:15">
      <c r="E83" s="8">
        <f t="shared" si="5"/>
        <v>33.75</v>
      </c>
      <c r="F83">
        <f t="shared" ref="F83:F146" si="9">IF(E83&lt;=80,$D$22+($D$23-$D$22)/80*(80-E83),IF(E83&lt;=100,$D$21+($D$22-$D$21)/20*(100-E83),IF(E83&lt;=120,$D$20+($D$21-$D$20)/20*(120-E83),IF(E83&lt;=140,$D$19+($D$20-$D$19)/20*(140-E83),IF(E83&lt;=160,$D$18+($D$19-$D$18)/20*(140-E83))))))</f>
        <v>0.59031250000000002</v>
      </c>
      <c r="G83">
        <f t="shared" si="6"/>
        <v>0.44739893277682269</v>
      </c>
      <c r="H83">
        <f t="shared" ref="H83:H146" si="10">(G83+G84)/2*(E83-E84)</f>
        <v>0.11136373646040314</v>
      </c>
      <c r="L83" s="8">
        <f t="shared" si="7"/>
        <v>81.000000000000369</v>
      </c>
      <c r="M83">
        <f t="shared" si="8"/>
        <v>0.2974999999999991</v>
      </c>
      <c r="N83">
        <f t="shared" ref="N83:N146" si="11">1/3.6^2*L83/($M$13*(M83+$M$12/100)+$M$11*L83^2)</f>
        <v>2.0228906257427939</v>
      </c>
      <c r="O83">
        <f t="shared" ref="O83:O146" si="12">(N83+N84)/2*(L83-L84)</f>
        <v>1.2068720400605799</v>
      </c>
    </row>
    <row r="84" spans="5:15">
      <c r="E84" s="8">
        <f t="shared" ref="E84:E147" si="13">E83-($F$4-$F$5)/200</f>
        <v>33.5</v>
      </c>
      <c r="F84">
        <f t="shared" si="9"/>
        <v>0.59112500000000001</v>
      </c>
      <c r="G84">
        <f t="shared" ref="G84:G118" si="14">1/3.6^2*E84/($F$13*(F84+$F$12/100)+$F$11*E84^2)</f>
        <v>0.44351095890640241</v>
      </c>
      <c r="H84">
        <f t="shared" si="10"/>
        <v>0.11039296680735416</v>
      </c>
      <c r="L84" s="8">
        <f t="shared" ref="L84:L147" si="15">L83-($M$4-$M$5)/200</f>
        <v>80.400000000000375</v>
      </c>
      <c r="M84">
        <f t="shared" si="8"/>
        <v>0.29899999999999904</v>
      </c>
      <c r="N84">
        <f t="shared" si="11"/>
        <v>2.0000161744591778</v>
      </c>
      <c r="O84">
        <f t="shared" si="12"/>
        <v>1.1931975112897562</v>
      </c>
    </row>
    <row r="85" spans="5:15">
      <c r="E85" s="8">
        <f t="shared" si="13"/>
        <v>33.25</v>
      </c>
      <c r="F85">
        <f t="shared" si="9"/>
        <v>0.59193750000000001</v>
      </c>
      <c r="G85">
        <f t="shared" si="14"/>
        <v>0.43963277555243091</v>
      </c>
      <c r="H85">
        <f t="shared" si="10"/>
        <v>0.10942464086048224</v>
      </c>
      <c r="L85" s="8">
        <f t="shared" si="15"/>
        <v>79.800000000000381</v>
      </c>
      <c r="M85">
        <f t="shared" si="8"/>
        <v>0.30049999999999905</v>
      </c>
      <c r="N85">
        <f t="shared" si="11"/>
        <v>1.9773088631733802</v>
      </c>
      <c r="O85">
        <f t="shared" si="12"/>
        <v>1.1796228019219701</v>
      </c>
    </row>
    <row r="86" spans="5:15">
      <c r="E86" s="8">
        <f t="shared" si="13"/>
        <v>33</v>
      </c>
      <c r="F86">
        <f t="shared" si="9"/>
        <v>0.59275</v>
      </c>
      <c r="G86">
        <f t="shared" si="14"/>
        <v>0.43576435133142705</v>
      </c>
      <c r="H86">
        <f t="shared" si="10"/>
        <v>0.10845875079005138</v>
      </c>
      <c r="L86" s="8">
        <f t="shared" si="15"/>
        <v>79.200000000000387</v>
      </c>
      <c r="M86">
        <f t="shared" si="8"/>
        <v>0.30199999999999905</v>
      </c>
      <c r="N86">
        <f t="shared" si="11"/>
        <v>1.9547671432332239</v>
      </c>
      <c r="O86">
        <f t="shared" si="12"/>
        <v>1.1661469882159232</v>
      </c>
    </row>
    <row r="87" spans="5:15">
      <c r="E87" s="8">
        <f t="shared" si="13"/>
        <v>32.75</v>
      </c>
      <c r="F87">
        <f t="shared" si="9"/>
        <v>0.59356249999999999</v>
      </c>
      <c r="G87">
        <f t="shared" si="14"/>
        <v>0.43190565498898392</v>
      </c>
      <c r="H87">
        <f t="shared" si="10"/>
        <v>0.10749528879851203</v>
      </c>
      <c r="L87" s="8">
        <f t="shared" si="15"/>
        <v>78.600000000000392</v>
      </c>
      <c r="M87">
        <f t="shared" si="8"/>
        <v>0.30349999999999899</v>
      </c>
      <c r="N87">
        <f t="shared" si="11"/>
        <v>1.9323894841532234</v>
      </c>
      <c r="O87">
        <f t="shared" si="12"/>
        <v>1.1527691572519618</v>
      </c>
    </row>
    <row r="88" spans="5:15">
      <c r="E88" s="8">
        <f t="shared" si="13"/>
        <v>32.5</v>
      </c>
      <c r="F88">
        <f t="shared" si="9"/>
        <v>0.59437499999999999</v>
      </c>
      <c r="G88">
        <f t="shared" si="14"/>
        <v>0.42805665539911236</v>
      </c>
      <c r="H88">
        <f t="shared" si="10"/>
        <v>0.1065342471203376</v>
      </c>
      <c r="L88" s="8">
        <f t="shared" si="15"/>
        <v>78.000000000000398</v>
      </c>
      <c r="M88">
        <f t="shared" si="8"/>
        <v>0.30499999999999899</v>
      </c>
      <c r="N88">
        <f t="shared" si="11"/>
        <v>1.9101743733533527</v>
      </c>
      <c r="O88">
        <f t="shared" si="12"/>
        <v>1.1394884067766806</v>
      </c>
    </row>
    <row r="89" spans="5:15">
      <c r="E89" s="8">
        <f t="shared" si="13"/>
        <v>32.25</v>
      </c>
      <c r="F89">
        <f t="shared" si="9"/>
        <v>0.59518749999999998</v>
      </c>
      <c r="G89">
        <f t="shared" si="14"/>
        <v>0.42421732156358843</v>
      </c>
      <c r="H89">
        <f t="shared" si="10"/>
        <v>0.10557561802186168</v>
      </c>
      <c r="L89" s="8">
        <f t="shared" si="15"/>
        <v>77.400000000000404</v>
      </c>
      <c r="M89">
        <f t="shared" si="8"/>
        <v>0.306499999999999</v>
      </c>
      <c r="N89">
        <f t="shared" si="11"/>
        <v>1.8881203159022855</v>
      </c>
      <c r="O89">
        <f t="shared" si="12"/>
        <v>1.1263038450501797</v>
      </c>
    </row>
    <row r="90" spans="5:15">
      <c r="E90" s="8">
        <f t="shared" si="13"/>
        <v>32</v>
      </c>
      <c r="F90">
        <f t="shared" si="9"/>
        <v>0.59599999999999997</v>
      </c>
      <c r="G90">
        <f t="shared" si="14"/>
        <v>0.42038762261130497</v>
      </c>
      <c r="H90">
        <f t="shared" si="10"/>
        <v>0.10461939380111647</v>
      </c>
      <c r="L90" s="8">
        <f t="shared" si="15"/>
        <v>76.800000000000409</v>
      </c>
      <c r="M90">
        <f t="shared" si="8"/>
        <v>0.30799999999999894</v>
      </c>
      <c r="N90">
        <f t="shared" si="11"/>
        <v>1.8662258342650151</v>
      </c>
      <c r="O90">
        <f t="shared" si="12"/>
        <v>1.1132145906959228</v>
      </c>
    </row>
    <row r="91" spans="5:15">
      <c r="E91" s="8">
        <f t="shared" si="13"/>
        <v>31.75</v>
      </c>
      <c r="F91">
        <f t="shared" si="9"/>
        <v>0.59681249999999997</v>
      </c>
      <c r="G91">
        <f t="shared" si="14"/>
        <v>0.41656752779762679</v>
      </c>
      <c r="H91">
        <f t="shared" si="10"/>
        <v>0.10366556678767212</v>
      </c>
      <c r="L91" s="8">
        <f t="shared" si="15"/>
        <v>76.200000000000415</v>
      </c>
      <c r="M91">
        <f t="shared" si="8"/>
        <v>0.30949999999999894</v>
      </c>
      <c r="N91">
        <f t="shared" si="11"/>
        <v>1.8444894680547625</v>
      </c>
      <c r="O91">
        <f t="shared" si="12"/>
        <v>1.1002197725531482</v>
      </c>
    </row>
    <row r="92" spans="5:15">
      <c r="E92" s="8">
        <f t="shared" si="13"/>
        <v>31.5</v>
      </c>
      <c r="F92">
        <f t="shared" si="9"/>
        <v>0.59762499999999996</v>
      </c>
      <c r="G92">
        <f t="shared" si="14"/>
        <v>0.41275700650375019</v>
      </c>
      <c r="H92">
        <f t="shared" si="10"/>
        <v>0.10271412934247706</v>
      </c>
      <c r="L92" s="8">
        <f t="shared" si="15"/>
        <v>75.600000000000421</v>
      </c>
      <c r="M92">
        <f t="shared" si="8"/>
        <v>0.31099999999999894</v>
      </c>
      <c r="N92">
        <f t="shared" si="11"/>
        <v>1.8229097737890996</v>
      </c>
      <c r="O92">
        <f t="shared" si="12"/>
        <v>1.0873185295317762</v>
      </c>
    </row>
    <row r="93" spans="5:15">
      <c r="E93" s="8">
        <f t="shared" si="13"/>
        <v>31.25</v>
      </c>
      <c r="F93">
        <f t="shared" si="9"/>
        <v>0.59843749999999996</v>
      </c>
      <c r="G93">
        <f t="shared" si="14"/>
        <v>0.40895602823606636</v>
      </c>
      <c r="H93">
        <f t="shared" si="10"/>
        <v>0.10176507385769926</v>
      </c>
      <c r="L93" s="8">
        <f t="shared" si="15"/>
        <v>75.000000000000426</v>
      </c>
      <c r="M93">
        <f t="shared" si="8"/>
        <v>0.31249999999999895</v>
      </c>
      <c r="N93">
        <f t="shared" si="11"/>
        <v>1.801485324650189</v>
      </c>
      <c r="O93">
        <f t="shared" si="12"/>
        <v>1.0745100104697693</v>
      </c>
    </row>
    <row r="94" spans="5:15">
      <c r="E94" s="8">
        <f t="shared" si="13"/>
        <v>31</v>
      </c>
      <c r="F94">
        <f t="shared" si="9"/>
        <v>0.59924999999999995</v>
      </c>
      <c r="G94">
        <f t="shared" si="14"/>
        <v>0.40516456262552769</v>
      </c>
      <c r="H94">
        <f t="shared" si="10"/>
        <v>0.10081839275656843</v>
      </c>
      <c r="L94" s="8">
        <f t="shared" si="15"/>
        <v>74.400000000000432</v>
      </c>
      <c r="M94">
        <f t="shared" si="8"/>
        <v>0.31399999999999889</v>
      </c>
      <c r="N94">
        <f t="shared" si="11"/>
        <v>1.780214710249076</v>
      </c>
      <c r="O94">
        <f t="shared" si="12"/>
        <v>1.0617933739928944</v>
      </c>
    </row>
    <row r="95" spans="5:15">
      <c r="E95" s="8">
        <f t="shared" si="13"/>
        <v>30.75</v>
      </c>
      <c r="F95">
        <f t="shared" si="9"/>
        <v>0.60006249999999994</v>
      </c>
      <c r="G95">
        <f t="shared" si="14"/>
        <v>0.40138257942701971</v>
      </c>
      <c r="H95">
        <f t="shared" si="10"/>
        <v>9.9874078493219276E-2</v>
      </c>
      <c r="L95" s="8">
        <f t="shared" si="15"/>
        <v>73.800000000000438</v>
      </c>
      <c r="M95">
        <f t="shared" si="8"/>
        <v>0.31549999999999889</v>
      </c>
      <c r="N95">
        <f t="shared" si="11"/>
        <v>1.759096536393939</v>
      </c>
      <c r="O95">
        <f t="shared" si="12"/>
        <v>1.0491677883768413</v>
      </c>
    </row>
    <row r="96" spans="5:15">
      <c r="E96" s="8">
        <f t="shared" si="13"/>
        <v>30.5</v>
      </c>
      <c r="F96">
        <f t="shared" si="9"/>
        <v>0.60087499999999994</v>
      </c>
      <c r="G96">
        <f t="shared" si="14"/>
        <v>0.39761004851873444</v>
      </c>
      <c r="H96">
        <f t="shared" si="10"/>
        <v>9.8932123552535584E-2</v>
      </c>
      <c r="L96" s="8">
        <f t="shared" si="15"/>
        <v>73.200000000000443</v>
      </c>
      <c r="M96">
        <f t="shared" si="8"/>
        <v>0.31699999999999889</v>
      </c>
      <c r="N96">
        <f t="shared" si="11"/>
        <v>1.7381294248622317</v>
      </c>
      <c r="O96">
        <f t="shared" si="12"/>
        <v>1.0366324314116506</v>
      </c>
    </row>
    <row r="97" spans="5:15">
      <c r="E97" s="8">
        <f t="shared" si="13"/>
        <v>30.25</v>
      </c>
      <c r="F97">
        <f t="shared" si="9"/>
        <v>0.60168749999999993</v>
      </c>
      <c r="G97">
        <f t="shared" si="14"/>
        <v>0.39384693990155029</v>
      </c>
      <c r="H97">
        <f t="shared" si="10"/>
        <v>9.7992520449995402E-2</v>
      </c>
      <c r="L97" s="8">
        <f t="shared" si="15"/>
        <v>72.600000000000449</v>
      </c>
      <c r="M97">
        <f t="shared" si="8"/>
        <v>0.31849999999999884</v>
      </c>
      <c r="N97">
        <f t="shared" si="11"/>
        <v>1.7173120131766366</v>
      </c>
      <c r="O97">
        <f t="shared" si="12"/>
        <v>1.0241864902684068</v>
      </c>
    </row>
    <row r="98" spans="5:15">
      <c r="E98" s="8">
        <f t="shared" si="13"/>
        <v>30</v>
      </c>
      <c r="F98">
        <f t="shared" si="9"/>
        <v>0.60250000000000004</v>
      </c>
      <c r="G98">
        <f t="shared" si="14"/>
        <v>0.39009322369841298</v>
      </c>
      <c r="H98">
        <f t="shared" si="10"/>
        <v>9.705526173151692E-2</v>
      </c>
      <c r="L98" s="8">
        <f t="shared" si="15"/>
        <v>72.000000000000455</v>
      </c>
      <c r="M98">
        <f t="shared" si="8"/>
        <v>0.31999999999999884</v>
      </c>
      <c r="N98">
        <f t="shared" si="11"/>
        <v>1.6966429543847517</v>
      </c>
      <c r="O98">
        <f t="shared" si="12"/>
        <v>1.0118291613681509</v>
      </c>
    </row>
    <row r="99" spans="5:15">
      <c r="E99" s="8">
        <f t="shared" si="13"/>
        <v>29.75</v>
      </c>
      <c r="F99">
        <f t="shared" si="9"/>
        <v>0.60331249999999992</v>
      </c>
      <c r="G99">
        <f t="shared" si="14"/>
        <v>0.38634887015372238</v>
      </c>
      <c r="H99">
        <f t="shared" si="10"/>
        <v>9.6120339973305463E-2</v>
      </c>
      <c r="L99" s="8">
        <f t="shared" si="15"/>
        <v>71.40000000000046</v>
      </c>
      <c r="M99">
        <f t="shared" si="8"/>
        <v>0.32149999999999884</v>
      </c>
      <c r="N99">
        <f t="shared" si="11"/>
        <v>1.6761209168424502</v>
      </c>
      <c r="O99">
        <f t="shared" si="12"/>
        <v>0.99955965025297422</v>
      </c>
    </row>
    <row r="100" spans="5:15">
      <c r="E100" s="8">
        <f t="shared" si="13"/>
        <v>29.5</v>
      </c>
      <c r="F100">
        <f t="shared" si="9"/>
        <v>0.60412500000000002</v>
      </c>
      <c r="G100">
        <f t="shared" si="14"/>
        <v>0.38261384963272138</v>
      </c>
      <c r="H100">
        <f t="shared" si="10"/>
        <v>9.5187747781701415E-2</v>
      </c>
      <c r="L100" s="8">
        <f t="shared" si="15"/>
        <v>70.800000000000466</v>
      </c>
      <c r="M100">
        <f t="shared" si="8"/>
        <v>0.32299999999999884</v>
      </c>
      <c r="N100">
        <f t="shared" si="11"/>
        <v>1.6557445840008287</v>
      </c>
      <c r="O100">
        <f t="shared" si="12"/>
        <v>0.98737717145924431</v>
      </c>
    </row>
    <row r="101" spans="5:15">
      <c r="E101" s="8">
        <f t="shared" si="13"/>
        <v>29.25</v>
      </c>
      <c r="F101">
        <f t="shared" si="9"/>
        <v>0.60493749999999991</v>
      </c>
      <c r="G101">
        <f t="shared" si="14"/>
        <v>0.37888813262088988</v>
      </c>
      <c r="H101">
        <f t="shared" si="10"/>
        <v>9.4257477793028843E-2</v>
      </c>
      <c r="L101" s="8">
        <f t="shared" si="15"/>
        <v>70.200000000000472</v>
      </c>
      <c r="M101">
        <f t="shared" si="8"/>
        <v>0.32449999999999879</v>
      </c>
      <c r="N101">
        <f t="shared" si="11"/>
        <v>1.6355126541966836</v>
      </c>
      <c r="O101">
        <f t="shared" si="12"/>
        <v>0.97528094839292878</v>
      </c>
    </row>
    <row r="102" spans="5:15">
      <c r="E102" s="8">
        <f t="shared" si="13"/>
        <v>29</v>
      </c>
      <c r="F102">
        <f t="shared" si="9"/>
        <v>0.60575000000000001</v>
      </c>
      <c r="G102">
        <f t="shared" si="14"/>
        <v>0.37517168972334092</v>
      </c>
      <c r="H102">
        <f t="shared" si="10"/>
        <v>9.3329522673445353E-2</v>
      </c>
      <c r="L102" s="8">
        <f t="shared" si="15"/>
        <v>69.600000000000477</v>
      </c>
      <c r="M102">
        <f t="shared" si="8"/>
        <v>0.32599999999999879</v>
      </c>
      <c r="N102">
        <f t="shared" si="11"/>
        <v>1.6154238404464434</v>
      </c>
      <c r="O102">
        <f t="shared" si="12"/>
        <v>0.9632702132069727</v>
      </c>
    </row>
    <row r="103" spans="5:15">
      <c r="E103" s="8">
        <f t="shared" si="13"/>
        <v>28.75</v>
      </c>
      <c r="F103">
        <f t="shared" si="9"/>
        <v>0.6065625</v>
      </c>
      <c r="G103">
        <f t="shared" si="14"/>
        <v>0.37146449166422191</v>
      </c>
      <c r="H103">
        <f t="shared" si="10"/>
        <v>9.2403875118792528E-2</v>
      </c>
      <c r="L103" s="8">
        <f t="shared" si="15"/>
        <v>69.000000000000483</v>
      </c>
      <c r="M103">
        <f t="shared" si="8"/>
        <v>0.32749999999999879</v>
      </c>
      <c r="N103">
        <f t="shared" si="11"/>
        <v>1.595476870243496</v>
      </c>
      <c r="O103">
        <f t="shared" si="12"/>
        <v>0.95134420668069108</v>
      </c>
    </row>
    <row r="104" spans="5:15">
      <c r="E104" s="8">
        <f t="shared" si="13"/>
        <v>28.5</v>
      </c>
      <c r="F104">
        <f t="shared" si="9"/>
        <v>0.607375</v>
      </c>
      <c r="G104">
        <f t="shared" si="14"/>
        <v>0.36776650928611837</v>
      </c>
      <c r="H104">
        <f t="shared" si="10"/>
        <v>9.1480527854447519E-2</v>
      </c>
      <c r="L104" s="8">
        <f t="shared" si="15"/>
        <v>68.400000000000489</v>
      </c>
      <c r="M104">
        <f t="shared" si="8"/>
        <v>0.32899999999999874</v>
      </c>
      <c r="N104">
        <f t="shared" si="11"/>
        <v>1.5756704853588377</v>
      </c>
      <c r="O104">
        <f t="shared" si="12"/>
        <v>0.93950217810113912</v>
      </c>
    </row>
    <row r="105" spans="5:15">
      <c r="E105" s="8">
        <f t="shared" si="13"/>
        <v>28.25</v>
      </c>
      <c r="F105">
        <f t="shared" si="9"/>
        <v>0.60818749999999999</v>
      </c>
      <c r="G105">
        <f t="shared" si="14"/>
        <v>0.36407771354946172</v>
      </c>
      <c r="H105">
        <f t="shared" si="10"/>
        <v>9.0559473635175247E-2</v>
      </c>
      <c r="L105" s="8">
        <f t="shared" si="15"/>
        <v>67.800000000000495</v>
      </c>
      <c r="M105">
        <f t="shared" si="8"/>
        <v>0.33049999999999874</v>
      </c>
      <c r="N105">
        <f t="shared" si="11"/>
        <v>1.556003441644989</v>
      </c>
      <c r="O105">
        <f t="shared" si="12"/>
        <v>0.92774338514642141</v>
      </c>
    </row>
    <row r="106" spans="5:15">
      <c r="E106" s="8">
        <f t="shared" si="13"/>
        <v>28</v>
      </c>
      <c r="F106">
        <f t="shared" si="9"/>
        <v>0.60899999999999999</v>
      </c>
      <c r="G106">
        <f t="shared" si="14"/>
        <v>0.36039807553194031</v>
      </c>
      <c r="H106">
        <f t="shared" si="10"/>
        <v>8.9640705244981883E-2</v>
      </c>
      <c r="L106" s="8">
        <f t="shared" si="15"/>
        <v>67.2000000000005</v>
      </c>
      <c r="M106">
        <f t="shared" si="8"/>
        <v>0.33199999999999874</v>
      </c>
      <c r="N106">
        <f t="shared" si="11"/>
        <v>1.5364745088431118</v>
      </c>
      <c r="O106">
        <f t="shared" si="12"/>
        <v>0.91606709377090412</v>
      </c>
    </row>
    <row r="107" spans="5:15">
      <c r="E107" s="8">
        <f t="shared" si="13"/>
        <v>27.75</v>
      </c>
      <c r="F107">
        <f t="shared" si="9"/>
        <v>0.60981249999999998</v>
      </c>
      <c r="G107">
        <f t="shared" si="14"/>
        <v>0.3567275664279147</v>
      </c>
      <c r="H107">
        <f t="shared" si="10"/>
        <v>8.8724215496968739E-2</v>
      </c>
      <c r="L107" s="8">
        <f t="shared" si="15"/>
        <v>66.600000000000506</v>
      </c>
      <c r="M107">
        <f t="shared" si="8"/>
        <v>0.33349999999999874</v>
      </c>
      <c r="N107">
        <f t="shared" si="11"/>
        <v>1.5170824703932639</v>
      </c>
      <c r="O107">
        <f t="shared" si="12"/>
        <v>0.90447257809229265</v>
      </c>
    </row>
    <row r="108" spans="5:15">
      <c r="E108" s="8">
        <f t="shared" si="13"/>
        <v>27.5</v>
      </c>
      <c r="F108">
        <f t="shared" si="9"/>
        <v>0.61062499999999997</v>
      </c>
      <c r="G108">
        <f t="shared" si="14"/>
        <v>0.35306615754783521</v>
      </c>
      <c r="H108">
        <f t="shared" si="10"/>
        <v>8.7809997233187415E-2</v>
      </c>
      <c r="L108" s="8">
        <f t="shared" si="15"/>
        <v>66.000000000000512</v>
      </c>
      <c r="M108">
        <f t="shared" si="8"/>
        <v>0.33499999999999869</v>
      </c>
      <c r="N108">
        <f t="shared" si="11"/>
        <v>1.4978261232477401</v>
      </c>
      <c r="O108">
        <f t="shared" si="12"/>
        <v>0.89295912028054281</v>
      </c>
    </row>
    <row r="109" spans="5:15">
      <c r="E109" s="8">
        <f t="shared" si="13"/>
        <v>27.25</v>
      </c>
      <c r="F109">
        <f t="shared" si="9"/>
        <v>0.61143749999999997</v>
      </c>
      <c r="G109">
        <f t="shared" si="14"/>
        <v>0.34941382031766416</v>
      </c>
      <c r="H109">
        <f t="shared" si="10"/>
        <v>8.6898043324495605E-2</v>
      </c>
      <c r="L109" s="8">
        <f t="shared" si="15"/>
        <v>65.400000000000517</v>
      </c>
      <c r="M109">
        <f t="shared" si="8"/>
        <v>0.33649999999999869</v>
      </c>
      <c r="N109">
        <f t="shared" si="11"/>
        <v>1.4787042776874304</v>
      </c>
      <c r="O109">
        <f t="shared" si="12"/>
        <v>0.88152601044856582</v>
      </c>
    </row>
    <row r="110" spans="5:15">
      <c r="E110" s="8">
        <f t="shared" si="13"/>
        <v>27</v>
      </c>
      <c r="F110">
        <f t="shared" si="9"/>
        <v>0.61224999999999996</v>
      </c>
      <c r="G110">
        <f t="shared" si="14"/>
        <v>0.34577052627830063</v>
      </c>
      <c r="H110">
        <f t="shared" si="10"/>
        <v>8.5988346670413773E-2</v>
      </c>
      <c r="L110" s="8">
        <f t="shared" si="15"/>
        <v>64.800000000000523</v>
      </c>
      <c r="M110">
        <f t="shared" si="8"/>
        <v>0.33799999999999869</v>
      </c>
      <c r="N110">
        <f t="shared" si="11"/>
        <v>1.4597157571411503</v>
      </c>
      <c r="O110">
        <f t="shared" si="12"/>
        <v>0.8701725465447</v>
      </c>
    </row>
    <row r="111" spans="5:15">
      <c r="E111" s="8">
        <f t="shared" si="13"/>
        <v>26.75</v>
      </c>
      <c r="F111">
        <f t="shared" si="9"/>
        <v>0.61306249999999995</v>
      </c>
      <c r="G111">
        <f t="shared" si="14"/>
        <v>0.3421362470850095</v>
      </c>
      <c r="H111">
        <f t="shared" si="10"/>
        <v>8.5080900198982776E-2</v>
      </c>
      <c r="L111" s="8">
        <f t="shared" si="15"/>
        <v>64.200000000000529</v>
      </c>
      <c r="M111">
        <f t="shared" si="8"/>
        <v>0.33949999999999869</v>
      </c>
      <c r="N111">
        <f t="shared" si="11"/>
        <v>1.440859398007877</v>
      </c>
      <c r="O111">
        <f t="shared" si="12"/>
        <v>0.85889803424691924</v>
      </c>
    </row>
    <row r="112" spans="5:15">
      <c r="E112" s="8">
        <f t="shared" si="13"/>
        <v>26.5</v>
      </c>
      <c r="F112">
        <f t="shared" si="9"/>
        <v>0.61387499999999995</v>
      </c>
      <c r="G112">
        <f t="shared" si="14"/>
        <v>0.3385109545068527</v>
      </c>
      <c r="H112">
        <f t="shared" si="10"/>
        <v>8.4175696866622268E-2</v>
      </c>
      <c r="L112" s="8">
        <f t="shared" si="15"/>
        <v>63.600000000000527</v>
      </c>
      <c r="M112">
        <f t="shared" si="8"/>
        <v>0.34099999999999864</v>
      </c>
      <c r="N112">
        <f t="shared" si="11"/>
        <v>1.4221340494818471</v>
      </c>
      <c r="O112">
        <f t="shared" si="12"/>
        <v>0.84770178685869157</v>
      </c>
    </row>
    <row r="113" spans="5:15">
      <c r="E113" s="8">
        <f t="shared" si="13"/>
        <v>26.25</v>
      </c>
      <c r="F113">
        <f t="shared" si="9"/>
        <v>0.61468749999999994</v>
      </c>
      <c r="G113">
        <f t="shared" si="14"/>
        <v>0.33489462042612544</v>
      </c>
      <c r="H113">
        <f t="shared" si="10"/>
        <v>8.3272729657989944E-2</v>
      </c>
      <c r="L113" s="8">
        <f t="shared" si="15"/>
        <v>63.000000000000526</v>
      </c>
      <c r="M113">
        <f t="shared" si="8"/>
        <v>0.34249999999999869</v>
      </c>
      <c r="N113">
        <f t="shared" si="11"/>
        <v>1.4035385733804515</v>
      </c>
      <c r="O113">
        <f t="shared" si="12"/>
        <v>0.83658312520660327</v>
      </c>
    </row>
    <row r="114" spans="5:15">
      <c r="E114" s="8">
        <f t="shared" si="13"/>
        <v>26</v>
      </c>
      <c r="F114">
        <f t="shared" si="9"/>
        <v>0.61549999999999994</v>
      </c>
      <c r="G114">
        <f t="shared" si="14"/>
        <v>0.33128721683779411</v>
      </c>
      <c r="H114">
        <f t="shared" si="10"/>
        <v>8.2371991585841603E-2</v>
      </c>
      <c r="L114" s="8">
        <f t="shared" si="15"/>
        <v>62.400000000000524</v>
      </c>
      <c r="M114">
        <f t="shared" si="8"/>
        <v>0.34399999999999864</v>
      </c>
      <c r="N114">
        <f t="shared" si="11"/>
        <v>1.3850718439748861</v>
      </c>
      <c r="O114">
        <f t="shared" si="12"/>
        <v>0.82554137753951806</v>
      </c>
    </row>
    <row r="115" spans="5:15">
      <c r="E115" s="8">
        <f t="shared" si="13"/>
        <v>25.75</v>
      </c>
      <c r="F115">
        <f t="shared" si="9"/>
        <v>0.61631249999999993</v>
      </c>
      <c r="G115">
        <f t="shared" si="14"/>
        <v>0.32768871584893872</v>
      </c>
      <c r="H115">
        <f t="shared" si="10"/>
        <v>8.1473475690892111E-2</v>
      </c>
      <c r="L115" s="8">
        <f t="shared" si="15"/>
        <v>61.800000000000523</v>
      </c>
      <c r="M115">
        <f t="shared" si="8"/>
        <v>0.3454999999999987</v>
      </c>
      <c r="N115">
        <f t="shared" si="11"/>
        <v>1.366732747823501</v>
      </c>
      <c r="O115">
        <f t="shared" si="12"/>
        <v>0.81457587942939125</v>
      </c>
    </row>
    <row r="116" spans="5:15">
      <c r="E116" s="8">
        <f t="shared" si="13"/>
        <v>25.5</v>
      </c>
      <c r="F116">
        <f t="shared" si="9"/>
        <v>0.61712499999999992</v>
      </c>
      <c r="G116">
        <f t="shared" si="14"/>
        <v>0.32409908967819812</v>
      </c>
      <c r="H116">
        <f t="shared" si="10"/>
        <v>8.0577175041677079E-2</v>
      </c>
      <c r="L116" s="8">
        <f t="shared" si="15"/>
        <v>61.200000000000522</v>
      </c>
      <c r="M116">
        <f t="shared" si="8"/>
        <v>0.3469999999999987</v>
      </c>
      <c r="N116">
        <f t="shared" si="11"/>
        <v>1.3485201836077971</v>
      </c>
      <c r="O116">
        <f t="shared" si="12"/>
        <v>0.80368597367364991</v>
      </c>
    </row>
    <row r="117" spans="5:15">
      <c r="E117" s="8">
        <f t="shared" si="13"/>
        <v>25.25</v>
      </c>
      <c r="F117">
        <f t="shared" si="9"/>
        <v>0.61793750000000003</v>
      </c>
      <c r="G117">
        <f t="shared" si="14"/>
        <v>0.32051831065521852</v>
      </c>
      <c r="H117">
        <f t="shared" si="10"/>
        <v>7.9683082734415517E-2</v>
      </c>
      <c r="L117" s="8">
        <f t="shared" si="15"/>
        <v>60.60000000000052</v>
      </c>
      <c r="M117">
        <f t="shared" si="8"/>
        <v>0.3484999999999987</v>
      </c>
      <c r="N117">
        <f t="shared" si="11"/>
        <v>1.3304330619710292</v>
      </c>
      <c r="O117">
        <f t="shared" si="12"/>
        <v>0.79287101019911777</v>
      </c>
    </row>
    <row r="118" spans="5:15">
      <c r="E118" s="8">
        <f t="shared" si="13"/>
        <v>25</v>
      </c>
      <c r="F118">
        <f t="shared" si="9"/>
        <v>0.61874999999999991</v>
      </c>
      <c r="G118">
        <f t="shared" si="14"/>
        <v>0.31694635122010562</v>
      </c>
      <c r="H118">
        <f t="shared" si="10"/>
        <v>7.8791191892873091E-2</v>
      </c>
      <c r="L118" s="8">
        <f t="shared" si="15"/>
        <v>60.000000000000519</v>
      </c>
      <c r="M118">
        <f t="shared" si="8"/>
        <v>0.3499999999999987</v>
      </c>
      <c r="N118">
        <f t="shared" si="11"/>
        <v>1.3124703053593567</v>
      </c>
      <c r="O118">
        <f t="shared" si="12"/>
        <v>0.78116415827989349</v>
      </c>
    </row>
    <row r="119" spans="5:15">
      <c r="E119" s="8">
        <f t="shared" si="13"/>
        <v>24.75</v>
      </c>
      <c r="F119">
        <f t="shared" si="9"/>
        <v>0.61956250000000002</v>
      </c>
      <c r="G119">
        <f t="shared" ref="G119:G182" si="16">1/3.6^2*E119/($F$13*(F119+$F$12/100)+$F$11*E119^2)</f>
        <v>0.31338318392287906</v>
      </c>
      <c r="H119">
        <f t="shared" si="10"/>
        <v>7.790149566822635E-2</v>
      </c>
      <c r="L119" s="8">
        <f t="shared" si="15"/>
        <v>59.400000000000517</v>
      </c>
      <c r="M119">
        <f t="shared" si="8"/>
        <v>0.35239999999999794</v>
      </c>
      <c r="N119">
        <f t="shared" si="11"/>
        <v>1.2914102222402823</v>
      </c>
      <c r="O119">
        <f t="shared" si="12"/>
        <v>0.76860280589169172</v>
      </c>
    </row>
    <row r="120" spans="5:15">
      <c r="E120" s="8">
        <f t="shared" si="13"/>
        <v>24.5</v>
      </c>
      <c r="F120">
        <f t="shared" si="9"/>
        <v>0.62037500000000001</v>
      </c>
      <c r="G120">
        <f t="shared" si="16"/>
        <v>0.3098287814229318</v>
      </c>
      <c r="H120">
        <f t="shared" si="10"/>
        <v>7.7013987238927772E-2</v>
      </c>
      <c r="L120" s="8">
        <f t="shared" si="15"/>
        <v>58.800000000000516</v>
      </c>
      <c r="M120">
        <f t="shared" si="8"/>
        <v>0.35479999999999789</v>
      </c>
      <c r="N120">
        <f t="shared" si="11"/>
        <v>1.2705991307320172</v>
      </c>
      <c r="O120">
        <f t="shared" si="12"/>
        <v>0.75618959318343726</v>
      </c>
    </row>
    <row r="121" spans="5:15">
      <c r="E121" s="8">
        <f t="shared" si="13"/>
        <v>24.25</v>
      </c>
      <c r="F121">
        <f t="shared" si="9"/>
        <v>0.6211875</v>
      </c>
      <c r="G121">
        <f t="shared" si="16"/>
        <v>0.30628311648849033</v>
      </c>
      <c r="H121">
        <f t="shared" si="10"/>
        <v>7.6128659810571347E-2</v>
      </c>
      <c r="L121" s="8">
        <f t="shared" si="15"/>
        <v>58.200000000000514</v>
      </c>
      <c r="M121">
        <f t="shared" si="8"/>
        <v>0.35719999999999791</v>
      </c>
      <c r="N121">
        <f t="shared" si="11"/>
        <v>1.250032846546101</v>
      </c>
      <c r="O121">
        <f t="shared" si="12"/>
        <v>0.74392203744363972</v>
      </c>
    </row>
    <row r="122" spans="5:15">
      <c r="E122" s="8">
        <f t="shared" si="13"/>
        <v>24</v>
      </c>
      <c r="F122">
        <f t="shared" si="9"/>
        <v>0.622</v>
      </c>
      <c r="G122">
        <f t="shared" si="16"/>
        <v>0.30274616199608051</v>
      </c>
      <c r="H122">
        <f t="shared" si="10"/>
        <v>7.5245506615759364E-2</v>
      </c>
      <c r="L122" s="8">
        <f t="shared" si="15"/>
        <v>57.600000000000513</v>
      </c>
      <c r="M122">
        <f t="shared" si="8"/>
        <v>0.35959999999999792</v>
      </c>
      <c r="N122">
        <f t="shared" si="11"/>
        <v>1.2297072782660257</v>
      </c>
      <c r="O122">
        <f t="shared" si="12"/>
        <v>0.73179771091549783</v>
      </c>
    </row>
    <row r="123" spans="5:15">
      <c r="E123" s="8">
        <f t="shared" si="13"/>
        <v>23.75</v>
      </c>
      <c r="F123">
        <f t="shared" si="9"/>
        <v>0.62281249999999999</v>
      </c>
      <c r="G123">
        <f t="shared" si="16"/>
        <v>0.2992178909299944</v>
      </c>
      <c r="H123">
        <f t="shared" si="10"/>
        <v>7.4364520913969542E-2</v>
      </c>
      <c r="L123" s="8">
        <f t="shared" si="15"/>
        <v>57.000000000000512</v>
      </c>
      <c r="M123">
        <f t="shared" si="8"/>
        <v>0.36199999999999793</v>
      </c>
      <c r="N123">
        <f t="shared" si="11"/>
        <v>1.2096184247856281</v>
      </c>
      <c r="O123">
        <f t="shared" si="12"/>
        <v>0.71981423928522925</v>
      </c>
    </row>
    <row r="124" spans="5:15">
      <c r="E124" s="8">
        <f t="shared" si="13"/>
        <v>23.5</v>
      </c>
      <c r="F124">
        <f t="shared" si="9"/>
        <v>0.62362499999999998</v>
      </c>
      <c r="G124">
        <f t="shared" si="16"/>
        <v>0.29569827638176194</v>
      </c>
      <c r="H124">
        <f t="shared" si="10"/>
        <v>7.3485695991423322E-2</v>
      </c>
      <c r="L124" s="8">
        <f t="shared" si="15"/>
        <v>56.40000000000051</v>
      </c>
      <c r="M124">
        <f t="shared" si="8"/>
        <v>0.36439999999999795</v>
      </c>
      <c r="N124">
        <f t="shared" si="11"/>
        <v>1.1897623728317972</v>
      </c>
      <c r="O124">
        <f t="shared" si="12"/>
        <v>0.70796930022002447</v>
      </c>
    </row>
    <row r="125" spans="5:15">
      <c r="E125" s="8">
        <f t="shared" si="13"/>
        <v>23.25</v>
      </c>
      <c r="F125">
        <f t="shared" si="9"/>
        <v>0.62443749999999998</v>
      </c>
      <c r="G125">
        <f t="shared" si="16"/>
        <v>0.29218729154962458</v>
      </c>
      <c r="H125">
        <f t="shared" si="10"/>
        <v>7.2609025160954646E-2</v>
      </c>
      <c r="L125" s="8">
        <f t="shared" si="15"/>
        <v>55.800000000000509</v>
      </c>
      <c r="M125">
        <f t="shared" si="8"/>
        <v>0.36679999999999796</v>
      </c>
      <c r="N125">
        <f t="shared" si="11"/>
        <v>1.1701352945682788</v>
      </c>
      <c r="O125">
        <f t="shared" si="12"/>
        <v>0.69626062195373517</v>
      </c>
    </row>
    <row r="126" spans="5:15">
      <c r="E126" s="8">
        <f t="shared" si="13"/>
        <v>23</v>
      </c>
      <c r="F126">
        <f t="shared" si="9"/>
        <v>0.62524999999999997</v>
      </c>
      <c r="G126">
        <f t="shared" si="16"/>
        <v>0.28868490973801259</v>
      </c>
      <c r="H126">
        <f t="shared" si="10"/>
        <v>7.1734501761879732E-2</v>
      </c>
      <c r="L126" s="8">
        <f t="shared" si="15"/>
        <v>55.200000000000507</v>
      </c>
      <c r="M126">
        <f t="shared" si="8"/>
        <v>0.36919999999999797</v>
      </c>
      <c r="N126">
        <f t="shared" si="11"/>
        <v>1.1507334452774995</v>
      </c>
      <c r="O126">
        <f t="shared" si="12"/>
        <v>0.68468598191848928</v>
      </c>
    </row>
    <row r="127" spans="5:15">
      <c r="E127" s="8">
        <f t="shared" si="13"/>
        <v>22.75</v>
      </c>
      <c r="F127">
        <f t="shared" si="9"/>
        <v>0.62606249999999997</v>
      </c>
      <c r="G127">
        <f t="shared" si="16"/>
        <v>0.28519110435702522</v>
      </c>
      <c r="H127">
        <f t="shared" si="10"/>
        <v>7.0862119159867371E-2</v>
      </c>
      <c r="L127" s="8">
        <f t="shared" si="15"/>
        <v>54.600000000000506</v>
      </c>
      <c r="M127">
        <f t="shared" si="8"/>
        <v>0.37159999999999793</v>
      </c>
      <c r="N127">
        <f t="shared" si="11"/>
        <v>1.1315531611174592</v>
      </c>
      <c r="O127">
        <f t="shared" si="12"/>
        <v>0.67324320542050087</v>
      </c>
    </row>
    <row r="128" spans="5:15">
      <c r="E128" s="8">
        <f t="shared" si="13"/>
        <v>22.5</v>
      </c>
      <c r="F128">
        <f t="shared" si="9"/>
        <v>0.62687499999999996</v>
      </c>
      <c r="G128">
        <f t="shared" si="16"/>
        <v>0.2817058489219138</v>
      </c>
      <c r="H128">
        <f t="shared" si="10"/>
        <v>6.999187074681025E-2</v>
      </c>
      <c r="L128" s="8">
        <f t="shared" si="15"/>
        <v>54.000000000000504</v>
      </c>
      <c r="M128">
        <f t="shared" si="8"/>
        <v>0.37399999999999795</v>
      </c>
      <c r="N128">
        <f t="shared" si="11"/>
        <v>1.1125908569508716</v>
      </c>
      <c r="O128">
        <f t="shared" si="12"/>
        <v>0.66193016435842011</v>
      </c>
    </row>
    <row r="129" spans="5:15">
      <c r="E129" s="8">
        <f t="shared" si="13"/>
        <v>22.25</v>
      </c>
      <c r="F129">
        <f t="shared" si="9"/>
        <v>0.62768749999999995</v>
      </c>
      <c r="G129">
        <f t="shared" si="16"/>
        <v>0.2782291170525682</v>
      </c>
      <c r="H129">
        <f t="shared" si="10"/>
        <v>6.9123749940696755E-2</v>
      </c>
      <c r="L129" s="8">
        <f t="shared" si="15"/>
        <v>53.400000000000503</v>
      </c>
      <c r="M129">
        <f t="shared" si="8"/>
        <v>0.37639999999999796</v>
      </c>
      <c r="N129">
        <f t="shared" si="11"/>
        <v>1.0938430242438568</v>
      </c>
      <c r="O129">
        <f t="shared" si="12"/>
        <v>0.65074477598263636</v>
      </c>
    </row>
    <row r="130" spans="5:15">
      <c r="E130" s="8">
        <f t="shared" si="13"/>
        <v>22</v>
      </c>
      <c r="F130">
        <f t="shared" si="9"/>
        <v>0.62849999999999995</v>
      </c>
      <c r="G130">
        <f t="shared" si="16"/>
        <v>0.27476088247300584</v>
      </c>
      <c r="H130">
        <f t="shared" si="10"/>
        <v>6.8257750185483745E-2</v>
      </c>
      <c r="L130" s="8">
        <f t="shared" si="15"/>
        <v>52.800000000000502</v>
      </c>
      <c r="M130">
        <f t="shared" si="8"/>
        <v>0.37879999999999797</v>
      </c>
      <c r="N130">
        <f t="shared" si="11"/>
        <v>1.0753062290315929</v>
      </c>
      <c r="O130">
        <f t="shared" si="12"/>
        <v>0.6396850016940161</v>
      </c>
    </row>
    <row r="131" spans="5:15">
      <c r="E131" s="8">
        <f t="shared" si="13"/>
        <v>21.75</v>
      </c>
      <c r="F131">
        <f t="shared" si="9"/>
        <v>0.62931249999999994</v>
      </c>
      <c r="G131">
        <f t="shared" si="16"/>
        <v>0.27130111901086412</v>
      </c>
      <c r="H131">
        <f t="shared" si="10"/>
        <v>6.7393864950969967E-2</v>
      </c>
      <c r="L131" s="8">
        <f t="shared" si="15"/>
        <v>52.2000000000005</v>
      </c>
      <c r="M131">
        <f t="shared" si="8"/>
        <v>0.38119999999999798</v>
      </c>
      <c r="N131">
        <f t="shared" si="11"/>
        <v>1.0569771099484557</v>
      </c>
      <c r="O131">
        <f t="shared" si="12"/>
        <v>0.6287488458806203</v>
      </c>
    </row>
    <row r="132" spans="5:15">
      <c r="E132" s="8">
        <f t="shared" si="13"/>
        <v>21.5</v>
      </c>
      <c r="F132">
        <f t="shared" si="9"/>
        <v>0.63012499999999994</v>
      </c>
      <c r="G132">
        <f t="shared" si="16"/>
        <v>0.26784980059689562</v>
      </c>
      <c r="H132">
        <f t="shared" si="10"/>
        <v>6.653208773267022E-2</v>
      </c>
      <c r="L132" s="8">
        <f t="shared" si="15"/>
        <v>51.600000000000499</v>
      </c>
      <c r="M132">
        <f t="shared" si="8"/>
        <v>0.383599999999998</v>
      </c>
      <c r="N132">
        <f t="shared" si="11"/>
        <v>1.0388523763202737</v>
      </c>
      <c r="O132">
        <f t="shared" si="12"/>
        <v>0.61793435479101011</v>
      </c>
    </row>
    <row r="133" spans="5:15">
      <c r="E133" s="8">
        <f t="shared" si="13"/>
        <v>21.25</v>
      </c>
      <c r="F133">
        <f t="shared" si="9"/>
        <v>0.63093749999999993</v>
      </c>
      <c r="G133">
        <f t="shared" si="16"/>
        <v>0.26440690126446609</v>
      </c>
      <c r="H133">
        <f t="shared" si="10"/>
        <v>6.5672412051690193E-2</v>
      </c>
      <c r="L133" s="8">
        <f t="shared" si="15"/>
        <v>51.000000000000497</v>
      </c>
      <c r="M133">
        <f t="shared" si="8"/>
        <v>0.38599999999999801</v>
      </c>
      <c r="N133">
        <f t="shared" si="11"/>
        <v>1.0209288063164219</v>
      </c>
      <c r="O133">
        <f t="shared" si="12"/>
        <v>0.60723961544280181</v>
      </c>
    </row>
    <row r="134" spans="5:15">
      <c r="E134" s="8">
        <f t="shared" si="13"/>
        <v>21</v>
      </c>
      <c r="F134">
        <f t="shared" si="9"/>
        <v>0.63175000000000003</v>
      </c>
      <c r="G134">
        <f t="shared" si="16"/>
        <v>0.26097239514905551</v>
      </c>
      <c r="H134">
        <f t="shared" si="10"/>
        <v>6.4814831454602234E-2</v>
      </c>
      <c r="L134" s="8">
        <f t="shared" si="15"/>
        <v>50.400000000000496</v>
      </c>
      <c r="M134">
        <f t="shared" si="8"/>
        <v>0.38839999999999802</v>
      </c>
      <c r="N134">
        <f t="shared" si="11"/>
        <v>1.0032032451595789</v>
      </c>
      <c r="O134">
        <f t="shared" si="12"/>
        <v>0.59666275456519291</v>
      </c>
    </row>
    <row r="135" spans="5:15">
      <c r="E135" s="8">
        <f t="shared" si="13"/>
        <v>20.75</v>
      </c>
      <c r="F135">
        <f t="shared" si="9"/>
        <v>0.63256249999999992</v>
      </c>
      <c r="G135">
        <f t="shared" si="16"/>
        <v>0.2575462564877623</v>
      </c>
      <c r="H135">
        <f t="shared" si="10"/>
        <v>6.39593395133215E-2</v>
      </c>
      <c r="L135" s="8">
        <f t="shared" si="15"/>
        <v>49.800000000000495</v>
      </c>
      <c r="M135">
        <f t="shared" si="8"/>
        <v>0.39079999999999804</v>
      </c>
      <c r="N135">
        <f t="shared" si="11"/>
        <v>0.98567260339105955</v>
      </c>
      <c r="O135">
        <f t="shared" si="12"/>
        <v>0.58620193757423467</v>
      </c>
    </row>
    <row r="136" spans="5:15">
      <c r="E136" s="8">
        <f t="shared" si="13"/>
        <v>20.5</v>
      </c>
      <c r="F136">
        <f t="shared" si="9"/>
        <v>0.63337500000000002</v>
      </c>
      <c r="G136">
        <f t="shared" si="16"/>
        <v>0.2541284596188097</v>
      </c>
      <c r="H136">
        <f t="shared" si="10"/>
        <v>6.3105929824983198E-2</v>
      </c>
      <c r="L136" s="8">
        <f t="shared" si="15"/>
        <v>49.200000000000493</v>
      </c>
      <c r="M136">
        <f t="shared" si="8"/>
        <v>0.393199999999998</v>
      </c>
      <c r="N136">
        <f t="shared" si="11"/>
        <v>0.96833385518971815</v>
      </c>
      <c r="O136">
        <f t="shared" si="12"/>
        <v>0.57585536757966771</v>
      </c>
    </row>
    <row r="137" spans="5:15">
      <c r="E137" s="8">
        <f t="shared" si="13"/>
        <v>20.25</v>
      </c>
      <c r="F137">
        <f t="shared" si="9"/>
        <v>0.6341874999999999</v>
      </c>
      <c r="G137">
        <f t="shared" si="16"/>
        <v>0.25071897898105588</v>
      </c>
      <c r="H137">
        <f t="shared" si="10"/>
        <v>6.2254596011820262E-2</v>
      </c>
      <c r="L137" s="8">
        <f t="shared" si="15"/>
        <v>48.600000000000492</v>
      </c>
      <c r="M137">
        <f t="shared" si="8"/>
        <v>0.39559999999999801</v>
      </c>
      <c r="N137">
        <f t="shared" si="11"/>
        <v>0.95118403674250307</v>
      </c>
      <c r="O137">
        <f t="shared" si="12"/>
        <v>0.56562128442219894</v>
      </c>
    </row>
    <row r="138" spans="5:15">
      <c r="E138" s="8">
        <f t="shared" si="13"/>
        <v>20</v>
      </c>
      <c r="F138">
        <f t="shared" si="9"/>
        <v>0.63500000000000001</v>
      </c>
      <c r="G138">
        <f t="shared" si="16"/>
        <v>0.24731778911350619</v>
      </c>
      <c r="H138">
        <f t="shared" si="10"/>
        <v>6.1405331721041859E-2</v>
      </c>
      <c r="L138" s="8">
        <f t="shared" si="15"/>
        <v>48.00000000000049</v>
      </c>
      <c r="M138">
        <f t="shared" si="8"/>
        <v>0.39799999999999802</v>
      </c>
      <c r="N138">
        <f t="shared" si="11"/>
        <v>0.93422024466482212</v>
      </c>
      <c r="O138">
        <f t="shared" si="12"/>
        <v>0.55549796374013238</v>
      </c>
    </row>
    <row r="139" spans="5:15">
      <c r="E139" s="8">
        <f t="shared" si="13"/>
        <v>19.75</v>
      </c>
      <c r="F139">
        <f t="shared" si="9"/>
        <v>0.6358125</v>
      </c>
      <c r="G139">
        <f t="shared" si="16"/>
        <v>0.24392486465482871</v>
      </c>
      <c r="H139">
        <f t="shared" si="10"/>
        <v>6.0558130624712631E-2</v>
      </c>
      <c r="L139" s="8">
        <f t="shared" si="15"/>
        <v>47.400000000000489</v>
      </c>
      <c r="M139">
        <f t="shared" si="8"/>
        <v>0.40039999999999804</v>
      </c>
      <c r="N139">
        <f t="shared" si="11"/>
        <v>0.91743963446894827</v>
      </c>
      <c r="O139">
        <f t="shared" si="12"/>
        <v>0.545483716064318</v>
      </c>
    </row>
    <row r="140" spans="5:15">
      <c r="E140" s="8">
        <f t="shared" si="13"/>
        <v>19.5</v>
      </c>
      <c r="F140">
        <f t="shared" si="9"/>
        <v>0.636625</v>
      </c>
      <c r="G140">
        <f t="shared" si="16"/>
        <v>0.24054018034287233</v>
      </c>
      <c r="H140">
        <f t="shared" si="10"/>
        <v>5.9712986419632491E-2</v>
      </c>
      <c r="L140" s="8">
        <f t="shared" si="15"/>
        <v>46.800000000000487</v>
      </c>
      <c r="M140">
        <f t="shared" si="8"/>
        <v>0.40279999999999805</v>
      </c>
      <c r="N140">
        <f t="shared" si="11"/>
        <v>0.90083941907877385</v>
      </c>
      <c r="O140">
        <f t="shared" si="12"/>
        <v>0.53557688594041752</v>
      </c>
    </row>
    <row r="141" spans="5:15">
      <c r="E141" s="8">
        <f t="shared" si="13"/>
        <v>19.25</v>
      </c>
      <c r="F141">
        <f t="shared" si="9"/>
        <v>0.63743749999999999</v>
      </c>
      <c r="G141">
        <f t="shared" si="16"/>
        <v>0.23716371101418759</v>
      </c>
      <c r="H141">
        <f t="shared" si="10"/>
        <v>5.8869892827217281E-2</v>
      </c>
      <c r="L141" s="8">
        <f t="shared" si="15"/>
        <v>46.200000000000486</v>
      </c>
      <c r="M141">
        <f t="shared" si="8"/>
        <v>0.40519999999999806</v>
      </c>
      <c r="N141">
        <f t="shared" si="11"/>
        <v>0.88441686738928016</v>
      </c>
      <c r="O141">
        <f t="shared" si="12"/>
        <v>0.52577585107753477</v>
      </c>
    </row>
    <row r="142" spans="5:15">
      <c r="E142" s="8">
        <f t="shared" si="13"/>
        <v>19</v>
      </c>
      <c r="F142">
        <f t="shared" si="9"/>
        <v>0.63824999999999998</v>
      </c>
      <c r="G142">
        <f t="shared" si="16"/>
        <v>0.23379543160355065</v>
      </c>
      <c r="H142">
        <f t="shared" si="10"/>
        <v>5.8028843593380015E-2</v>
      </c>
      <c r="L142" s="8">
        <f t="shared" si="15"/>
        <v>45.600000000000485</v>
      </c>
      <c r="M142">
        <f t="shared" si="8"/>
        <v>0.40759999999999807</v>
      </c>
      <c r="N142">
        <f t="shared" si="11"/>
        <v>0.86816930286916494</v>
      </c>
      <c r="O142">
        <f t="shared" si="12"/>
        <v>0.51607902152228724</v>
      </c>
    </row>
    <row r="143" spans="5:15">
      <c r="E143" s="8">
        <f t="shared" si="13"/>
        <v>18.75</v>
      </c>
      <c r="F143">
        <f t="shared" si="9"/>
        <v>0.63906249999999998</v>
      </c>
      <c r="G143">
        <f t="shared" si="16"/>
        <v>0.23043531714348947</v>
      </c>
      <c r="H143">
        <f t="shared" si="10"/>
        <v>5.7189832488412806E-2</v>
      </c>
      <c r="L143" s="8">
        <f t="shared" si="15"/>
        <v>45.000000000000483</v>
      </c>
      <c r="M143">
        <f t="shared" si="8"/>
        <v>0.40999999999999803</v>
      </c>
      <c r="N143">
        <f t="shared" si="11"/>
        <v>0.85209410220512161</v>
      </c>
      <c r="O143">
        <f t="shared" si="12"/>
        <v>0.506484838857438</v>
      </c>
    </row>
    <row r="144" spans="5:15">
      <c r="E144" s="8">
        <f t="shared" si="13"/>
        <v>18.5</v>
      </c>
      <c r="F144">
        <f t="shared" si="9"/>
        <v>0.63987499999999997</v>
      </c>
      <c r="G144">
        <f t="shared" si="16"/>
        <v>0.22708334276381301</v>
      </c>
      <c r="H144">
        <f t="shared" si="10"/>
        <v>5.6352853306869552E-2</v>
      </c>
      <c r="L144" s="8">
        <f t="shared" si="15"/>
        <v>44.400000000000482</v>
      </c>
      <c r="M144">
        <f t="shared" si="8"/>
        <v>0.41239999999999805</v>
      </c>
      <c r="N144">
        <f t="shared" si="11"/>
        <v>0.83618869398633455</v>
      </c>
      <c r="O144">
        <f t="shared" si="12"/>
        <v>0.49699177542424128</v>
      </c>
    </row>
    <row r="145" spans="5:15">
      <c r="E145" s="8">
        <f t="shared" si="13"/>
        <v>18.25</v>
      </c>
      <c r="F145">
        <f t="shared" si="9"/>
        <v>0.64068749999999997</v>
      </c>
      <c r="G145">
        <f t="shared" si="16"/>
        <v>0.22373948369114344</v>
      </c>
      <c r="H145">
        <f t="shared" si="10"/>
        <v>5.5517899867449219E-2</v>
      </c>
      <c r="L145" s="8">
        <f t="shared" si="15"/>
        <v>43.80000000000048</v>
      </c>
      <c r="M145">
        <f t="shared" si="8"/>
        <v>0.41479999999999806</v>
      </c>
      <c r="N145">
        <f t="shared" si="11"/>
        <v>0.82045055742779915</v>
      </c>
      <c r="O145">
        <f t="shared" si="12"/>
        <v>0.48759833356768378</v>
      </c>
    </row>
    <row r="146" spans="5:15">
      <c r="E146" s="8">
        <f t="shared" si="13"/>
        <v>18</v>
      </c>
      <c r="F146">
        <f t="shared" si="9"/>
        <v>0.64149999999999996</v>
      </c>
      <c r="G146">
        <f t="shared" si="16"/>
        <v>0.22040371524845029</v>
      </c>
      <c r="H146">
        <f t="shared" si="10"/>
        <v>5.4684966012879796E-2</v>
      </c>
      <c r="L146" s="8">
        <f t="shared" si="15"/>
        <v>43.200000000000479</v>
      </c>
      <c r="M146">
        <f t="shared" ref="M146:M209" si="17">IF(L146&lt;=25,$K$25+($K$26-$K$25)/25*(25-L146),IF(L146&lt;=40,$K$24+($K$25-$K$24)/15*(40-L146),IF(L146&lt;=60,$K$23+($K$24-$K$23)/20*(60-L146),IF(L146&lt;=80,$K$22+($K$23-$K$22)/20*(80-L146),IF(L146&lt;=100,$K$21+($K$22-$K$21)/20*(100-L146),IF(L146&lt;=120,$K$20+($K$21-$K$20)/20*(120-L146)))))))</f>
        <v>0.41719999999999807</v>
      </c>
      <c r="N146">
        <f t="shared" si="11"/>
        <v>0.80487722113114291</v>
      </c>
      <c r="O146">
        <f t="shared" si="12"/>
        <v>0.47830304490384296</v>
      </c>
    </row>
    <row r="147" spans="5:15">
      <c r="E147" s="8">
        <f t="shared" si="13"/>
        <v>17.75</v>
      </c>
      <c r="F147">
        <f t="shared" ref="F147:F210" si="18">IF(E147&lt;=80,$D$22+($D$23-$D$22)/80*(80-E147),IF(E147&lt;=100,$D$21+($D$22-$D$21)/20*(100-E147),IF(E147&lt;=120,$D$20+($D$21-$D$20)/20*(120-E147),IF(E147&lt;=140,$D$19+($D$20-$D$19)/20*(140-E147),IF(E147&lt;=160,$D$18+($D$19-$D$18)/20*(140-E147))))))</f>
        <v>0.64231249999999995</v>
      </c>
      <c r="G147">
        <f t="shared" si="16"/>
        <v>0.21707601285458811</v>
      </c>
      <c r="H147">
        <f t="shared" ref="H147:H210" si="19">(G147+G148)/2*(E147-E148)</f>
        <v>5.3854045609803017E-2</v>
      </c>
      <c r="L147" s="8">
        <f t="shared" si="15"/>
        <v>42.600000000000477</v>
      </c>
      <c r="M147">
        <f t="shared" si="17"/>
        <v>0.41959999999999809</v>
      </c>
      <c r="N147">
        <f t="shared" ref="N147:N210" si="20">1/3.6^2*L147/($M$13*(M147+$M$12/100)+$M$11*L147^2)</f>
        <v>0.78946626188166313</v>
      </c>
      <c r="O147">
        <f t="shared" ref="O147:O210" si="21">(N147+N148)/2*(L147-L148)</f>
        <v>0.46910446960860663</v>
      </c>
    </row>
    <row r="148" spans="5:15">
      <c r="E148" s="8">
        <f t="shared" ref="E148:E211" si="22">E147-($F$4-$F$5)/200</f>
        <v>17.5</v>
      </c>
      <c r="F148">
        <f t="shared" si="18"/>
        <v>0.64312499999999995</v>
      </c>
      <c r="G148">
        <f t="shared" si="16"/>
        <v>0.21375635202383605</v>
      </c>
      <c r="H148">
        <f t="shared" si="19"/>
        <v>5.3025132548659586E-2</v>
      </c>
      <c r="L148" s="8">
        <f t="shared" ref="L148:L211" si="23">L147-($M$4-$M$5)/200</f>
        <v>42.000000000000476</v>
      </c>
      <c r="M148">
        <f t="shared" si="17"/>
        <v>0.4219999999999981</v>
      </c>
      <c r="N148">
        <f t="shared" si="20"/>
        <v>0.77421530348035539</v>
      </c>
      <c r="O148">
        <f t="shared" si="21"/>
        <v>0.46000119572703291</v>
      </c>
    </row>
    <row r="149" spans="5:15">
      <c r="E149" s="8">
        <f t="shared" si="22"/>
        <v>17.25</v>
      </c>
      <c r="F149">
        <f t="shared" si="18"/>
        <v>0.64393749999999994</v>
      </c>
      <c r="G149">
        <f t="shared" si="16"/>
        <v>0.21044470836544063</v>
      </c>
      <c r="H149">
        <f t="shared" si="19"/>
        <v>5.2198220743575191E-2</v>
      </c>
      <c r="L149" s="8">
        <f t="shared" si="23"/>
        <v>41.400000000000475</v>
      </c>
      <c r="M149">
        <f t="shared" si="17"/>
        <v>0.42439999999999811</v>
      </c>
      <c r="N149">
        <f t="shared" si="20"/>
        <v>0.75912201560975068</v>
      </c>
      <c r="O149">
        <f t="shared" si="21"/>
        <v>0.45099183850265379</v>
      </c>
    </row>
    <row r="150" spans="5:15">
      <c r="E150" s="8">
        <f t="shared" si="22"/>
        <v>17</v>
      </c>
      <c r="F150">
        <f t="shared" si="18"/>
        <v>0.64474999999999993</v>
      </c>
      <c r="G150">
        <f t="shared" si="16"/>
        <v>0.20714105758316087</v>
      </c>
      <c r="H150">
        <f t="shared" si="19"/>
        <v>5.1373304132247111E-2</v>
      </c>
      <c r="L150" s="8">
        <f t="shared" si="23"/>
        <v>40.800000000000473</v>
      </c>
      <c r="M150">
        <f t="shared" si="17"/>
        <v>0.42679999999999807</v>
      </c>
      <c r="N150">
        <f t="shared" si="20"/>
        <v>0.74418411273242502</v>
      </c>
      <c r="O150">
        <f t="shared" si="21"/>
        <v>0.44207503972605466</v>
      </c>
    </row>
    <row r="151" spans="5:15">
      <c r="E151" s="8">
        <f t="shared" si="22"/>
        <v>16.75</v>
      </c>
      <c r="F151">
        <f t="shared" si="18"/>
        <v>0.64556249999999993</v>
      </c>
      <c r="G151">
        <f t="shared" si="16"/>
        <v>0.20384537547481599</v>
      </c>
      <c r="H151">
        <f t="shared" si="19"/>
        <v>5.0550376675831475E-2</v>
      </c>
      <c r="L151" s="8">
        <f t="shared" si="23"/>
        <v>40.200000000000472</v>
      </c>
      <c r="M151">
        <f t="shared" si="17"/>
        <v>0.42919999999999814</v>
      </c>
      <c r="N151">
        <f t="shared" si="20"/>
        <v>0.72939935302108705</v>
      </c>
      <c r="O151">
        <f t="shared" si="21"/>
        <v>0.43377563017855225</v>
      </c>
    </row>
    <row r="152" spans="5:15">
      <c r="E152" s="8">
        <f t="shared" si="22"/>
        <v>16.5</v>
      </c>
      <c r="F152">
        <f t="shared" si="18"/>
        <v>0.64637499999999992</v>
      </c>
      <c r="G152">
        <f t="shared" si="16"/>
        <v>0.20055763793183581</v>
      </c>
      <c r="H152">
        <f t="shared" si="19"/>
        <v>4.9729432358831205E-2</v>
      </c>
      <c r="L152" s="8">
        <f t="shared" si="23"/>
        <v>39.60000000000047</v>
      </c>
      <c r="M152">
        <f t="shared" si="17"/>
        <v>0.43053333333333271</v>
      </c>
      <c r="N152">
        <f t="shared" si="20"/>
        <v>0.71651941424075027</v>
      </c>
      <c r="O152">
        <f t="shared" si="21"/>
        <v>0.42632673027996076</v>
      </c>
    </row>
    <row r="153" spans="5:15">
      <c r="E153" s="8">
        <f t="shared" si="22"/>
        <v>16.25</v>
      </c>
      <c r="F153">
        <f t="shared" si="18"/>
        <v>0.64718750000000003</v>
      </c>
      <c r="G153">
        <f t="shared" si="16"/>
        <v>0.1972778209388138</v>
      </c>
      <c r="H153">
        <f t="shared" si="19"/>
        <v>4.8910465188984523E-2</v>
      </c>
      <c r="L153" s="8">
        <f t="shared" si="23"/>
        <v>39.000000000000469</v>
      </c>
      <c r="M153">
        <f t="shared" si="17"/>
        <v>0.43133333333333268</v>
      </c>
      <c r="N153">
        <f t="shared" si="20"/>
        <v>0.7045696866924489</v>
      </c>
      <c r="O153">
        <f t="shared" si="21"/>
        <v>0.41916707326146041</v>
      </c>
    </row>
    <row r="154" spans="5:15">
      <c r="E154" s="8">
        <f t="shared" si="22"/>
        <v>16</v>
      </c>
      <c r="F154">
        <f t="shared" si="18"/>
        <v>0.64799999999999991</v>
      </c>
      <c r="G154">
        <f t="shared" si="16"/>
        <v>0.19400590057306238</v>
      </c>
      <c r="H154">
        <f t="shared" si="19"/>
        <v>4.8093469197154182E-2</v>
      </c>
      <c r="L154" s="8">
        <f t="shared" si="23"/>
        <v>38.400000000000468</v>
      </c>
      <c r="M154">
        <f t="shared" si="17"/>
        <v>0.4321333333333327</v>
      </c>
      <c r="N154">
        <f t="shared" si="20"/>
        <v>0.69265389084574913</v>
      </c>
      <c r="O154">
        <f t="shared" si="21"/>
        <v>0.41202777497643978</v>
      </c>
    </row>
    <row r="155" spans="5:15">
      <c r="E155" s="8">
        <f t="shared" si="22"/>
        <v>15.75</v>
      </c>
      <c r="F155">
        <f t="shared" si="18"/>
        <v>0.64881250000000001</v>
      </c>
      <c r="G155">
        <f t="shared" si="16"/>
        <v>0.19074185300417104</v>
      </c>
      <c r="H155">
        <f t="shared" si="19"/>
        <v>4.7278438437217248E-2</v>
      </c>
      <c r="L155" s="8">
        <f t="shared" si="23"/>
        <v>37.800000000000466</v>
      </c>
      <c r="M155">
        <f t="shared" si="17"/>
        <v>0.43293333333333273</v>
      </c>
      <c r="N155">
        <f t="shared" si="20"/>
        <v>0.68077202574238016</v>
      </c>
      <c r="O155">
        <f t="shared" si="21"/>
        <v>0.40490883458436872</v>
      </c>
    </row>
    <row r="156" spans="5:15">
      <c r="E156" s="8">
        <f t="shared" si="22"/>
        <v>15.5</v>
      </c>
      <c r="F156">
        <f t="shared" si="18"/>
        <v>0.6496249999999999</v>
      </c>
      <c r="G156">
        <f t="shared" si="16"/>
        <v>0.18748565449356694</v>
      </c>
      <c r="H156">
        <f t="shared" si="19"/>
        <v>4.6465366985955575E-2</v>
      </c>
      <c r="L156" s="8">
        <f t="shared" si="23"/>
        <v>37.200000000000465</v>
      </c>
      <c r="M156">
        <f t="shared" si="17"/>
        <v>0.43373333333333269</v>
      </c>
      <c r="N156">
        <f t="shared" si="20"/>
        <v>0.66892408953884575</v>
      </c>
      <c r="O156">
        <f t="shared" si="21"/>
        <v>0.39781025071566267</v>
      </c>
    </row>
    <row r="157" spans="5:15">
      <c r="E157" s="8">
        <f t="shared" si="22"/>
        <v>15.25</v>
      </c>
      <c r="F157">
        <f t="shared" si="18"/>
        <v>0.6504375</v>
      </c>
      <c r="G157">
        <f t="shared" si="16"/>
        <v>0.18423728139407769</v>
      </c>
      <c r="H157">
        <f t="shared" si="19"/>
        <v>4.5654248942946875E-2</v>
      </c>
      <c r="L157" s="8">
        <f t="shared" si="23"/>
        <v>36.600000000000463</v>
      </c>
      <c r="M157">
        <f t="shared" si="17"/>
        <v>0.43453333333333272</v>
      </c>
      <c r="N157">
        <f t="shared" si="20"/>
        <v>0.65711007951335998</v>
      </c>
      <c r="O157">
        <f t="shared" si="21"/>
        <v>0.39073202147584152</v>
      </c>
    </row>
    <row r="158" spans="5:15">
      <c r="E158" s="8">
        <f t="shared" si="22"/>
        <v>15</v>
      </c>
      <c r="F158">
        <f t="shared" si="18"/>
        <v>0.65125</v>
      </c>
      <c r="G158">
        <f t="shared" si="16"/>
        <v>0.18099671014949731</v>
      </c>
      <c r="H158">
        <f t="shared" si="19"/>
        <v>4.4845078430456375E-2</v>
      </c>
      <c r="L158" s="8">
        <f t="shared" si="23"/>
        <v>36.000000000000462</v>
      </c>
      <c r="M158">
        <f t="shared" si="17"/>
        <v>0.43533333333333274</v>
      </c>
      <c r="N158">
        <f t="shared" si="20"/>
        <v>0.6453299920727753</v>
      </c>
      <c r="O158">
        <f t="shared" si="21"/>
        <v>0.38367414444968417</v>
      </c>
    </row>
    <row r="159" spans="5:15">
      <c r="E159" s="8">
        <f t="shared" si="22"/>
        <v>14.75</v>
      </c>
      <c r="F159">
        <f t="shared" si="18"/>
        <v>0.65206249999999999</v>
      </c>
      <c r="G159">
        <f t="shared" si="16"/>
        <v>0.17776391729415369</v>
      </c>
      <c r="H159">
        <f t="shared" si="19"/>
        <v>4.4037849593329147E-2</v>
      </c>
      <c r="L159" s="8">
        <f t="shared" si="23"/>
        <v>35.40000000000046</v>
      </c>
      <c r="M159">
        <f t="shared" si="17"/>
        <v>0.43613333333333271</v>
      </c>
      <c r="N159">
        <f t="shared" si="20"/>
        <v>0.63358382275950231</v>
      </c>
      <c r="O159">
        <f t="shared" si="21"/>
        <v>0.37663661670537812</v>
      </c>
    </row>
    <row r="160" spans="5:15">
      <c r="E160" s="8">
        <f t="shared" si="22"/>
        <v>14.5</v>
      </c>
      <c r="F160">
        <f t="shared" si="18"/>
        <v>0.65287499999999998</v>
      </c>
      <c r="G160">
        <f t="shared" si="16"/>
        <v>0.17453887945247948</v>
      </c>
      <c r="H160">
        <f t="shared" si="19"/>
        <v>4.3232556598883025E-2</v>
      </c>
      <c r="L160" s="8">
        <f t="shared" si="23"/>
        <v>34.800000000000459</v>
      </c>
      <c r="M160">
        <f t="shared" si="17"/>
        <v>0.43693333333333273</v>
      </c>
      <c r="N160">
        <f t="shared" si="20"/>
        <v>0.62187156625842188</v>
      </c>
      <c r="O160">
        <f t="shared" si="21"/>
        <v>0.36961943479866416</v>
      </c>
    </row>
    <row r="161" spans="5:15">
      <c r="E161" s="8">
        <f t="shared" si="22"/>
        <v>14.25</v>
      </c>
      <c r="F161">
        <f t="shared" si="18"/>
        <v>0.65368749999999998</v>
      </c>
      <c r="G161">
        <f t="shared" si="16"/>
        <v>0.17132157333858472</v>
      </c>
      <c r="H161">
        <f t="shared" si="19"/>
        <v>4.2429193636802122E-2</v>
      </c>
      <c r="L161" s="8">
        <f t="shared" si="23"/>
        <v>34.200000000000458</v>
      </c>
      <c r="M161">
        <f t="shared" si="17"/>
        <v>0.4377333333333327</v>
      </c>
      <c r="N161">
        <f t="shared" si="20"/>
        <v>0.61019321640378887</v>
      </c>
      <c r="O161">
        <f t="shared" si="21"/>
        <v>0.36262259477697562</v>
      </c>
    </row>
    <row r="162" spans="5:15">
      <c r="E162" s="8">
        <f t="shared" si="22"/>
        <v>14</v>
      </c>
      <c r="F162">
        <f t="shared" si="18"/>
        <v>0.65449999999999997</v>
      </c>
      <c r="G162">
        <f t="shared" si="16"/>
        <v>0.16811197575583225</v>
      </c>
      <c r="H162">
        <f t="shared" si="19"/>
        <v>4.1627754919030951E-2</v>
      </c>
      <c r="L162" s="8">
        <f t="shared" si="23"/>
        <v>33.600000000000456</v>
      </c>
      <c r="M162">
        <f t="shared" si="17"/>
        <v>0.43853333333333272</v>
      </c>
      <c r="N162">
        <f t="shared" si="20"/>
        <v>0.59854876618612696</v>
      </c>
      <c r="O162">
        <f t="shared" si="21"/>
        <v>0.35564609218357285</v>
      </c>
    </row>
    <row r="163" spans="5:15">
      <c r="E163" s="8">
        <f t="shared" si="22"/>
        <v>13.75</v>
      </c>
      <c r="F163">
        <f t="shared" si="18"/>
        <v>0.65531249999999996</v>
      </c>
      <c r="G163">
        <f t="shared" si="16"/>
        <v>0.16491006359641538</v>
      </c>
      <c r="H163">
        <f t="shared" si="19"/>
        <v>4.0828234679669159E-2</v>
      </c>
      <c r="L163" s="8">
        <f t="shared" si="23"/>
        <v>33.000000000000455</v>
      </c>
      <c r="M163">
        <f t="shared" si="17"/>
        <v>0.43933333333333274</v>
      </c>
      <c r="N163">
        <f t="shared" si="20"/>
        <v>0.5869382077591131</v>
      </c>
      <c r="O163">
        <f t="shared" si="21"/>
        <v>0.34868992206167038</v>
      </c>
    </row>
    <row r="164" spans="5:15">
      <c r="E164" s="8">
        <f t="shared" si="22"/>
        <v>13.5</v>
      </c>
      <c r="F164">
        <f t="shared" si="18"/>
        <v>0.65612499999999996</v>
      </c>
      <c r="G164">
        <f t="shared" si="16"/>
        <v>0.16171581384093792</v>
      </c>
      <c r="H164">
        <f t="shared" si="19"/>
        <v>4.0030627174866829E-2</v>
      </c>
      <c r="L164" s="8">
        <f t="shared" si="23"/>
        <v>32.400000000000453</v>
      </c>
      <c r="M164">
        <f t="shared" si="17"/>
        <v>0.44013333333333271</v>
      </c>
      <c r="N164">
        <f t="shared" si="20"/>
        <v>0.57536153244645205</v>
      </c>
      <c r="O164">
        <f t="shared" si="21"/>
        <v>0.3417540789585588</v>
      </c>
    </row>
    <row r="165" spans="5:15">
      <c r="E165" s="8">
        <f t="shared" si="22"/>
        <v>13.25</v>
      </c>
      <c r="F165">
        <f t="shared" si="18"/>
        <v>0.65693749999999995</v>
      </c>
      <c r="G165">
        <f t="shared" si="16"/>
        <v>0.15852920355799668</v>
      </c>
      <c r="H165">
        <f t="shared" si="19"/>
        <v>3.9234926682720384E-2</v>
      </c>
      <c r="L165" s="8">
        <f t="shared" si="23"/>
        <v>31.800000000000452</v>
      </c>
      <c r="M165">
        <f t="shared" si="17"/>
        <v>0.44093333333333273</v>
      </c>
      <c r="N165">
        <f t="shared" si="20"/>
        <v>0.56381873074874123</v>
      </c>
      <c r="O165">
        <f t="shared" si="21"/>
        <v>0.33483855692971981</v>
      </c>
    </row>
    <row r="166" spans="5:15">
      <c r="E166" s="8">
        <f t="shared" si="22"/>
        <v>13</v>
      </c>
      <c r="F166">
        <f t="shared" si="18"/>
        <v>0.65774999999999995</v>
      </c>
      <c r="G166">
        <f t="shared" si="16"/>
        <v>0.15535020990376638</v>
      </c>
      <c r="H166">
        <f t="shared" si="19"/>
        <v>3.8441127503169123E-2</v>
      </c>
      <c r="L166" s="8">
        <f t="shared" si="23"/>
        <v>31.20000000000045</v>
      </c>
      <c r="M166">
        <f t="shared" si="17"/>
        <v>0.44173333333333276</v>
      </c>
      <c r="N166">
        <f t="shared" si="20"/>
        <v>0.55230979235032218</v>
      </c>
      <c r="O166">
        <f t="shared" si="21"/>
        <v>0.3279433495429343</v>
      </c>
    </row>
    <row r="167" spans="5:15">
      <c r="E167" s="8">
        <f t="shared" si="22"/>
        <v>12.75</v>
      </c>
      <c r="F167">
        <f t="shared" si="18"/>
        <v>0.65856249999999994</v>
      </c>
      <c r="G167">
        <f t="shared" si="16"/>
        <v>0.1521788101215866</v>
      </c>
      <c r="H167">
        <f t="shared" si="19"/>
        <v>3.7649223957892261E-2</v>
      </c>
      <c r="L167" s="8">
        <f t="shared" si="23"/>
        <v>30.600000000000449</v>
      </c>
      <c r="M167">
        <f t="shared" si="17"/>
        <v>0.44253333333333272</v>
      </c>
      <c r="N167">
        <f t="shared" si="20"/>
        <v>0.54083470612612294</v>
      </c>
      <c r="O167">
        <f t="shared" si="21"/>
        <v>0.32106844988238359</v>
      </c>
    </row>
    <row r="168" spans="5:15">
      <c r="E168" s="8">
        <f t="shared" si="22"/>
        <v>12.5</v>
      </c>
      <c r="F168">
        <f t="shared" si="18"/>
        <v>0.65937499999999993</v>
      </c>
      <c r="G168">
        <f t="shared" si="16"/>
        <v>0.14901498154155149</v>
      </c>
      <c r="H168">
        <f t="shared" si="19"/>
        <v>3.6859210390206613E-2</v>
      </c>
      <c r="L168" s="8">
        <f t="shared" si="23"/>
        <v>30.000000000000448</v>
      </c>
      <c r="M168">
        <f t="shared" si="17"/>
        <v>0.44333333333333275</v>
      </c>
      <c r="N168">
        <f t="shared" si="20"/>
        <v>0.52939346014848632</v>
      </c>
      <c r="O168">
        <f t="shared" si="21"/>
        <v>0.31421385055274259</v>
      </c>
    </row>
    <row r="169" spans="5:15">
      <c r="E169" s="8">
        <f t="shared" si="22"/>
        <v>12.25</v>
      </c>
      <c r="F169">
        <f t="shared" si="18"/>
        <v>0.66018749999999993</v>
      </c>
      <c r="G169">
        <f t="shared" si="16"/>
        <v>0.14585870158010142</v>
      </c>
      <c r="H169">
        <f t="shared" si="19"/>
        <v>3.6071081164964811E-2</v>
      </c>
      <c r="L169" s="8">
        <f t="shared" si="23"/>
        <v>29.400000000000446</v>
      </c>
      <c r="M169">
        <f t="shared" si="17"/>
        <v>0.44413333333333277</v>
      </c>
      <c r="N169">
        <f t="shared" si="20"/>
        <v>0.51798604169398643</v>
      </c>
      <c r="O169">
        <f t="shared" si="21"/>
        <v>0.30737954368326625</v>
      </c>
    </row>
    <row r="170" spans="5:15">
      <c r="E170" s="8">
        <f t="shared" si="22"/>
        <v>12</v>
      </c>
      <c r="F170">
        <f t="shared" si="18"/>
        <v>0.66100000000000003</v>
      </c>
      <c r="G170">
        <f t="shared" si="16"/>
        <v>0.14270994773961709</v>
      </c>
      <c r="H170">
        <f t="shared" si="19"/>
        <v>3.5284830668454142E-2</v>
      </c>
      <c r="L170" s="8">
        <f t="shared" si="23"/>
        <v>28.800000000000445</v>
      </c>
      <c r="M170">
        <f t="shared" si="17"/>
        <v>0.44493333333333274</v>
      </c>
      <c r="N170">
        <f t="shared" si="20"/>
        <v>0.50661243725023197</v>
      </c>
      <c r="O170">
        <f t="shared" si="21"/>
        <v>0.30056552093186684</v>
      </c>
    </row>
    <row r="171" spans="5:15">
      <c r="E171" s="8">
        <f t="shared" si="22"/>
        <v>11.75</v>
      </c>
      <c r="F171">
        <f t="shared" si="18"/>
        <v>0.66181249999999991</v>
      </c>
      <c r="G171">
        <f t="shared" si="16"/>
        <v>0.13956869760801607</v>
      </c>
      <c r="H171">
        <f t="shared" si="19"/>
        <v>3.4500453308295875E-2</v>
      </c>
      <c r="L171" s="8">
        <f t="shared" si="23"/>
        <v>28.200000000000443</v>
      </c>
      <c r="M171">
        <f t="shared" si="17"/>
        <v>0.44573333333333276</v>
      </c>
      <c r="N171">
        <f t="shared" si="20"/>
        <v>0.49527263252265513</v>
      </c>
      <c r="O171">
        <f t="shared" si="21"/>
        <v>0.29377177348918371</v>
      </c>
    </row>
    <row r="172" spans="5:15">
      <c r="E172" s="8">
        <f t="shared" si="22"/>
        <v>11.5</v>
      </c>
      <c r="F172">
        <f t="shared" si="18"/>
        <v>0.66262500000000002</v>
      </c>
      <c r="G172">
        <f t="shared" si="16"/>
        <v>0.13643492885835093</v>
      </c>
      <c r="H172">
        <f t="shared" si="19"/>
        <v>3.3717943513345228E-2</v>
      </c>
      <c r="L172" s="8">
        <f t="shared" si="23"/>
        <v>27.600000000000442</v>
      </c>
      <c r="M172">
        <f t="shared" si="17"/>
        <v>0.44653333333333273</v>
      </c>
      <c r="N172">
        <f t="shared" si="20"/>
        <v>0.48396661244128814</v>
      </c>
      <c r="O172">
        <f t="shared" si="21"/>
        <v>0.28699829208264421</v>
      </c>
    </row>
    <row r="173" spans="5:15">
      <c r="E173" s="8">
        <f t="shared" si="22"/>
        <v>11.25</v>
      </c>
      <c r="F173">
        <f t="shared" si="18"/>
        <v>0.6634374999999999</v>
      </c>
      <c r="G173">
        <f t="shared" si="16"/>
        <v>0.13330861924841086</v>
      </c>
      <c r="H173">
        <f t="shared" si="19"/>
        <v>3.293729573359188E-2</v>
      </c>
      <c r="L173" s="8">
        <f t="shared" si="23"/>
        <v>27.000000000000441</v>
      </c>
      <c r="M173">
        <f t="shared" si="17"/>
        <v>0.44733333333333275</v>
      </c>
      <c r="N173">
        <f t="shared" si="20"/>
        <v>0.47269436116752361</v>
      </c>
      <c r="O173">
        <f t="shared" si="21"/>
        <v>0.28024506698051593</v>
      </c>
    </row>
    <row r="174" spans="5:15">
      <c r="E174" s="8">
        <f t="shared" si="22"/>
        <v>11</v>
      </c>
      <c r="F174">
        <f t="shared" si="18"/>
        <v>0.66425000000000001</v>
      </c>
      <c r="G174">
        <f t="shared" si="16"/>
        <v>0.13018974662032418</v>
      </c>
      <c r="H174">
        <f t="shared" si="19"/>
        <v>3.215850444006102E-2</v>
      </c>
      <c r="L174" s="8">
        <f t="shared" si="23"/>
        <v>26.400000000000439</v>
      </c>
      <c r="M174">
        <f t="shared" si="17"/>
        <v>0.44813333333333277</v>
      </c>
      <c r="N174">
        <f t="shared" si="20"/>
        <v>0.4614558621008607</v>
      </c>
      <c r="O174">
        <f t="shared" si="21"/>
        <v>0.27351208799594973</v>
      </c>
    </row>
    <row r="175" spans="5:15">
      <c r="E175" s="8">
        <f t="shared" si="22"/>
        <v>10.75</v>
      </c>
      <c r="F175">
        <f t="shared" si="18"/>
        <v>0.6650625</v>
      </c>
      <c r="G175">
        <f t="shared" si="16"/>
        <v>0.12707828890016395</v>
      </c>
      <c r="H175">
        <f t="shared" si="19"/>
        <v>3.1381564124714934E-2</v>
      </c>
      <c r="L175" s="8">
        <f t="shared" si="23"/>
        <v>25.800000000000438</v>
      </c>
      <c r="M175">
        <f t="shared" si="17"/>
        <v>0.44893333333333274</v>
      </c>
      <c r="N175">
        <f t="shared" si="20"/>
        <v>0.45025109788563616</v>
      </c>
      <c r="O175">
        <f t="shared" si="21"/>
        <v>0.26679934449101306</v>
      </c>
    </row>
    <row r="176" spans="5:15">
      <c r="E176" s="8">
        <f t="shared" si="22"/>
        <v>10.5</v>
      </c>
      <c r="F176">
        <f t="shared" si="18"/>
        <v>0.66587499999999999</v>
      </c>
      <c r="G176">
        <f t="shared" si="16"/>
        <v>0.1239742240975555</v>
      </c>
      <c r="H176">
        <f t="shared" si="19"/>
        <v>3.0606469300355203E-2</v>
      </c>
      <c r="L176" s="8">
        <f t="shared" si="23"/>
        <v>25.200000000000436</v>
      </c>
      <c r="M176">
        <f t="shared" si="17"/>
        <v>0.44973333333333276</v>
      </c>
      <c r="N176">
        <f t="shared" si="20"/>
        <v>0.43908005041773862</v>
      </c>
      <c r="O176">
        <f t="shared" si="21"/>
        <v>0.25912997878630706</v>
      </c>
    </row>
    <row r="177" spans="5:15">
      <c r="E177" s="8">
        <f t="shared" si="22"/>
        <v>10.25</v>
      </c>
      <c r="F177">
        <f t="shared" si="18"/>
        <v>0.66668749999999999</v>
      </c>
      <c r="G177">
        <f t="shared" si="16"/>
        <v>0.12087753030528613</v>
      </c>
      <c r="H177">
        <f t="shared" si="19"/>
        <v>2.9833214500525396E-2</v>
      </c>
      <c r="L177" s="8">
        <f t="shared" si="23"/>
        <v>24.600000000000435</v>
      </c>
      <c r="M177">
        <f t="shared" si="17"/>
        <v>0.45399999999999568</v>
      </c>
      <c r="N177">
        <f t="shared" si="20"/>
        <v>0.42468654553661617</v>
      </c>
      <c r="O177">
        <f t="shared" si="21"/>
        <v>0.25010944529865814</v>
      </c>
    </row>
    <row r="178" spans="5:15">
      <c r="E178" s="8">
        <f t="shared" si="22"/>
        <v>10</v>
      </c>
      <c r="F178">
        <f t="shared" si="18"/>
        <v>0.66749999999999998</v>
      </c>
      <c r="G178">
        <f t="shared" si="16"/>
        <v>0.11778818569891704</v>
      </c>
      <c r="H178">
        <f t="shared" si="19"/>
        <v>2.9061794279414303E-2</v>
      </c>
      <c r="L178" s="8">
        <f t="shared" si="23"/>
        <v>24.000000000000433</v>
      </c>
      <c r="M178">
        <f t="shared" si="17"/>
        <v>0.45999999999999569</v>
      </c>
      <c r="N178">
        <f t="shared" si="20"/>
        <v>0.40901160545890902</v>
      </c>
      <c r="O178">
        <f t="shared" si="21"/>
        <v>0.24082315448245453</v>
      </c>
    </row>
    <row r="179" spans="5:15">
      <c r="E179" s="8">
        <f t="shared" si="22"/>
        <v>9.75</v>
      </c>
      <c r="F179">
        <f t="shared" si="18"/>
        <v>0.66831249999999998</v>
      </c>
      <c r="G179">
        <f t="shared" si="16"/>
        <v>0.11470616853639738</v>
      </c>
      <c r="H179">
        <f t="shared" si="19"/>
        <v>2.8292203211759744E-2</v>
      </c>
      <c r="L179" s="8">
        <f t="shared" si="23"/>
        <v>23.400000000000432</v>
      </c>
      <c r="M179">
        <f t="shared" si="17"/>
        <v>0.4659999999999957</v>
      </c>
      <c r="N179">
        <f t="shared" si="20"/>
        <v>0.39373224281593761</v>
      </c>
      <c r="O179">
        <f t="shared" si="21"/>
        <v>0.23176981017087778</v>
      </c>
    </row>
    <row r="180" spans="5:15">
      <c r="E180" s="8">
        <f t="shared" si="22"/>
        <v>9.5</v>
      </c>
      <c r="F180">
        <f t="shared" si="18"/>
        <v>0.66912499999999997</v>
      </c>
      <c r="G180">
        <f t="shared" si="16"/>
        <v>0.11163145715768057</v>
      </c>
      <c r="H180">
        <f t="shared" si="19"/>
        <v>2.7524435892752892E-2</v>
      </c>
      <c r="L180" s="8">
        <f t="shared" si="23"/>
        <v>22.800000000000431</v>
      </c>
      <c r="M180">
        <f t="shared" si="17"/>
        <v>0.4719999999999957</v>
      </c>
      <c r="N180">
        <f t="shared" si="20"/>
        <v>0.37883379108698656</v>
      </c>
      <c r="O180">
        <f t="shared" si="21"/>
        <v>0.22294082728483589</v>
      </c>
    </row>
    <row r="181" spans="5:15">
      <c r="E181" s="8">
        <f t="shared" si="22"/>
        <v>9.25</v>
      </c>
      <c r="F181">
        <f t="shared" si="18"/>
        <v>0.66993749999999996</v>
      </c>
      <c r="G181">
        <f t="shared" si="16"/>
        <v>0.10856402998434257</v>
      </c>
      <c r="H181">
        <f t="shared" si="19"/>
        <v>2.6758486937943124E-2</v>
      </c>
      <c r="L181" s="8">
        <f t="shared" si="23"/>
        <v>22.200000000000429</v>
      </c>
      <c r="M181">
        <f t="shared" si="17"/>
        <v>0.47799999999999571</v>
      </c>
      <c r="N181">
        <f t="shared" si="20"/>
        <v>0.36430229986246465</v>
      </c>
      <c r="O181">
        <f t="shared" si="21"/>
        <v>0.21432803745816917</v>
      </c>
    </row>
    <row r="182" spans="5:15">
      <c r="E182" s="8">
        <f t="shared" si="22"/>
        <v>9</v>
      </c>
      <c r="F182">
        <f t="shared" si="18"/>
        <v>0.67074999999999996</v>
      </c>
      <c r="G182">
        <f t="shared" si="16"/>
        <v>0.10550386551920241</v>
      </c>
      <c r="H182">
        <f t="shared" si="19"/>
        <v>2.5994350983143399E-2</v>
      </c>
      <c r="L182" s="8">
        <f t="shared" si="23"/>
        <v>21.600000000000428</v>
      </c>
      <c r="M182">
        <f t="shared" si="17"/>
        <v>0.48399999999999571</v>
      </c>
      <c r="N182">
        <f t="shared" si="20"/>
        <v>0.35012449166476428</v>
      </c>
      <c r="O182">
        <f t="shared" si="21"/>
        <v>0.20592366405627954</v>
      </c>
    </row>
    <row r="183" spans="5:15">
      <c r="E183" s="8">
        <f t="shared" si="22"/>
        <v>8.75</v>
      </c>
      <c r="F183">
        <f t="shared" si="18"/>
        <v>0.67156249999999995</v>
      </c>
      <c r="G183">
        <f t="shared" ref="G183:G218" si="24">1/3.6^2*E183/($F$13*(F183+$F$12/100)+$F$11*E183^2)</f>
        <v>0.10245094234594478</v>
      </c>
      <c r="H183">
        <f t="shared" si="19"/>
        <v>2.5232022684336192E-2</v>
      </c>
      <c r="L183" s="8">
        <f t="shared" si="23"/>
        <v>21.000000000000426</v>
      </c>
      <c r="M183">
        <f t="shared" si="17"/>
        <v>0.48999999999999577</v>
      </c>
      <c r="N183">
        <f t="shared" si="20"/>
        <v>0.3362877218561659</v>
      </c>
      <c r="O183">
        <f t="shared" si="21"/>
        <v>0.19772029897064894</v>
      </c>
    </row>
    <row r="184" spans="5:15">
      <c r="E184" s="8">
        <f t="shared" si="22"/>
        <v>8.5</v>
      </c>
      <c r="F184">
        <f t="shared" si="18"/>
        <v>0.67237499999999994</v>
      </c>
      <c r="G184">
        <f t="shared" si="24"/>
        <v>9.9405239128744743E-2</v>
      </c>
      <c r="H184">
        <f t="shared" si="19"/>
        <v>2.4471496717579908E-2</v>
      </c>
      <c r="L184" s="8">
        <f t="shared" si="23"/>
        <v>20.400000000000425</v>
      </c>
      <c r="M184">
        <f t="shared" si="17"/>
        <v>0.49599999999999578</v>
      </c>
      <c r="N184">
        <f t="shared" si="20"/>
        <v>0.32277994137932903</v>
      </c>
      <c r="O184">
        <f t="shared" si="21"/>
        <v>0.1897108810436807</v>
      </c>
    </row>
    <row r="185" spans="5:15">
      <c r="E185" s="8">
        <f t="shared" si="22"/>
        <v>8.25</v>
      </c>
      <c r="F185">
        <f t="shared" si="18"/>
        <v>0.67318749999999994</v>
      </c>
      <c r="G185">
        <f t="shared" si="24"/>
        <v>9.6366734611894531E-2</v>
      </c>
      <c r="H185">
        <f t="shared" si="19"/>
        <v>2.3712767778915851E-2</v>
      </c>
      <c r="L185" s="8">
        <f t="shared" si="23"/>
        <v>19.800000000000423</v>
      </c>
      <c r="M185">
        <f t="shared" si="17"/>
        <v>0.50199999999999578</v>
      </c>
      <c r="N185">
        <f t="shared" si="20"/>
        <v>0.30958966209960515</v>
      </c>
      <c r="O185">
        <f t="shared" si="21"/>
        <v>0.18188867599177566</v>
      </c>
    </row>
    <row r="186" spans="5:15">
      <c r="E186" s="8">
        <f t="shared" si="22"/>
        <v>8</v>
      </c>
      <c r="F186">
        <f t="shared" si="18"/>
        <v>0.67399999999999993</v>
      </c>
      <c r="G186">
        <f t="shared" si="24"/>
        <v>9.3335407619432265E-2</v>
      </c>
      <c r="H186">
        <f t="shared" si="19"/>
        <v>2.2955830584275656E-2</v>
      </c>
      <c r="L186" s="8">
        <f t="shared" si="23"/>
        <v>19.200000000000422</v>
      </c>
      <c r="M186">
        <f t="shared" si="17"/>
        <v>0.50799999999999579</v>
      </c>
      <c r="N186">
        <f t="shared" si="20"/>
        <v>0.29670592453964562</v>
      </c>
      <c r="O186">
        <f t="shared" si="21"/>
        <v>0.17424725770664687</v>
      </c>
    </row>
    <row r="187" spans="5:15">
      <c r="E187" s="8">
        <f t="shared" si="22"/>
        <v>7.75</v>
      </c>
      <c r="F187">
        <f t="shared" si="18"/>
        <v>0.67481249999999993</v>
      </c>
      <c r="G187">
        <f t="shared" si="24"/>
        <v>9.031123705477298E-2</v>
      </c>
      <c r="H187">
        <f t="shared" si="19"/>
        <v>2.2200679869389315E-2</v>
      </c>
      <c r="L187" s="8">
        <f t="shared" si="23"/>
        <v>18.600000000000421</v>
      </c>
      <c r="M187">
        <f t="shared" si="17"/>
        <v>0.51399999999999579</v>
      </c>
      <c r="N187">
        <f t="shared" si="20"/>
        <v>0.28411826781584265</v>
      </c>
      <c r="O187">
        <f t="shared" si="21"/>
        <v>0.16678049082573593</v>
      </c>
    </row>
    <row r="188" spans="5:15">
      <c r="E188" s="8">
        <f t="shared" si="22"/>
        <v>7.5</v>
      </c>
      <c r="F188">
        <f t="shared" si="18"/>
        <v>0.67562499999999992</v>
      </c>
      <c r="G188">
        <f t="shared" si="24"/>
        <v>8.7294201900341539E-2</v>
      </c>
      <c r="H188">
        <f t="shared" si="19"/>
        <v>2.1447310389693629E-2</v>
      </c>
      <c r="L188" s="8">
        <f t="shared" si="23"/>
        <v>18.000000000000419</v>
      </c>
      <c r="M188">
        <f t="shared" si="17"/>
        <v>0.5199999999999958</v>
      </c>
      <c r="N188">
        <f t="shared" si="20"/>
        <v>0.27181670160327581</v>
      </c>
      <c r="O188">
        <f t="shared" si="21"/>
        <v>0.15948251447236003</v>
      </c>
    </row>
    <row r="189" spans="5:15">
      <c r="E189" s="8">
        <f t="shared" si="22"/>
        <v>7.25</v>
      </c>
      <c r="F189">
        <f t="shared" si="18"/>
        <v>0.67643750000000002</v>
      </c>
      <c r="G189">
        <f t="shared" si="24"/>
        <v>8.4284281217207477E-2</v>
      </c>
      <c r="H189">
        <f t="shared" si="19"/>
        <v>2.0695716920241209E-2</v>
      </c>
      <c r="L189" s="8">
        <f t="shared" si="23"/>
        <v>17.400000000000418</v>
      </c>
      <c r="M189">
        <f t="shared" si="17"/>
        <v>0.5259999999999958</v>
      </c>
      <c r="N189">
        <f t="shared" si="20"/>
        <v>0.25979167997125635</v>
      </c>
      <c r="O189">
        <f t="shared" si="21"/>
        <v>0.15234772707501434</v>
      </c>
    </row>
    <row r="190" spans="5:15">
      <c r="E190" s="8">
        <f t="shared" si="22"/>
        <v>7</v>
      </c>
      <c r="F190">
        <f t="shared" si="18"/>
        <v>0.67724999999999991</v>
      </c>
      <c r="G190">
        <f t="shared" si="24"/>
        <v>8.1281454144722196E-2</v>
      </c>
      <c r="H190">
        <f t="shared" si="19"/>
        <v>1.994589425560999E-2</v>
      </c>
      <c r="L190" s="8">
        <f t="shared" si="23"/>
        <v>16.800000000000416</v>
      </c>
      <c r="M190">
        <f t="shared" si="17"/>
        <v>0.53199999999999581</v>
      </c>
      <c r="N190">
        <f t="shared" si="20"/>
        <v>0.2480340769454569</v>
      </c>
      <c r="O190">
        <f t="shared" si="21"/>
        <v>0.14537077218318092</v>
      </c>
    </row>
    <row r="191" spans="5:15">
      <c r="E191" s="8">
        <f t="shared" si="22"/>
        <v>6.75</v>
      </c>
      <c r="F191">
        <f t="shared" si="18"/>
        <v>0.67806250000000001</v>
      </c>
      <c r="G191">
        <f t="shared" si="24"/>
        <v>7.8285699900157726E-2</v>
      </c>
      <c r="H191">
        <f t="shared" si="19"/>
        <v>1.9197837209813204E-2</v>
      </c>
      <c r="L191" s="8">
        <f t="shared" si="23"/>
        <v>16.200000000000415</v>
      </c>
      <c r="M191">
        <f t="shared" si="17"/>
        <v>0.53799999999999581</v>
      </c>
      <c r="N191">
        <f t="shared" si="20"/>
        <v>0.23653516366514502</v>
      </c>
      <c r="O191">
        <f t="shared" si="21"/>
        <v>0.13854652520415164</v>
      </c>
    </row>
    <row r="192" spans="5:15">
      <c r="E192" s="8">
        <f t="shared" si="22"/>
        <v>6.5</v>
      </c>
      <c r="F192">
        <f t="shared" si="18"/>
        <v>0.6788749999999999</v>
      </c>
      <c r="G192">
        <f t="shared" si="24"/>
        <v>7.5296997778347904E-2</v>
      </c>
      <c r="H192">
        <f t="shared" si="19"/>
        <v>1.8451540616209867E-2</v>
      </c>
      <c r="L192" s="8">
        <f t="shared" si="23"/>
        <v>15.600000000000415</v>
      </c>
      <c r="M192">
        <f t="shared" si="17"/>
        <v>0.54399999999999582</v>
      </c>
      <c r="N192">
        <f t="shared" si="20"/>
        <v>0.22528658701536072</v>
      </c>
      <c r="O192">
        <f t="shared" si="21"/>
        <v>0.13187008099184161</v>
      </c>
    </row>
    <row r="193" spans="5:15">
      <c r="E193" s="8">
        <f t="shared" si="22"/>
        <v>6.25</v>
      </c>
      <c r="F193">
        <f t="shared" si="18"/>
        <v>0.6796875</v>
      </c>
      <c r="G193">
        <f t="shared" si="24"/>
        <v>7.231532715133103E-2</v>
      </c>
      <c r="H193">
        <f t="shared" si="19"/>
        <v>1.7706999327415769E-2</v>
      </c>
      <c r="L193" s="8">
        <f t="shared" si="23"/>
        <v>15.000000000000416</v>
      </c>
      <c r="M193">
        <f t="shared" si="17"/>
        <v>0.54999999999999583</v>
      </c>
      <c r="N193">
        <f t="shared" si="20"/>
        <v>0.21428034962411158</v>
      </c>
      <c r="O193">
        <f t="shared" si="21"/>
        <v>0.12533674222441066</v>
      </c>
    </row>
    <row r="194" spans="5:15">
      <c r="E194" s="8">
        <f t="shared" si="22"/>
        <v>6</v>
      </c>
      <c r="F194">
        <f t="shared" si="18"/>
        <v>0.68049999999999999</v>
      </c>
      <c r="G194">
        <f t="shared" si="24"/>
        <v>6.9340667467995137E-2</v>
      </c>
      <c r="H194">
        <f t="shared" si="19"/>
        <v>1.6964208215214969E-2</v>
      </c>
      <c r="L194" s="8">
        <f t="shared" si="23"/>
        <v>14.400000000000416</v>
      </c>
      <c r="M194">
        <f t="shared" si="17"/>
        <v>0.55599999999999583</v>
      </c>
      <c r="N194">
        <f t="shared" si="20"/>
        <v>0.20350879112392423</v>
      </c>
      <c r="O194">
        <f t="shared" si="21"/>
        <v>0.11894200851282281</v>
      </c>
    </row>
    <row r="195" spans="5:15">
      <c r="E195" s="8">
        <f t="shared" si="22"/>
        <v>5.75</v>
      </c>
      <c r="F195">
        <f t="shared" si="18"/>
        <v>0.68131249999999999</v>
      </c>
      <c r="G195">
        <f t="shared" si="24"/>
        <v>6.6372998253724613E-2</v>
      </c>
      <c r="H195">
        <f t="shared" si="19"/>
        <v>1.6223162170471699E-2</v>
      </c>
      <c r="L195" s="8">
        <f t="shared" si="23"/>
        <v>13.800000000000416</v>
      </c>
      <c r="M195">
        <f t="shared" si="17"/>
        <v>0.56199999999999584</v>
      </c>
      <c r="N195">
        <f t="shared" si="20"/>
        <v>0.19296457058548541</v>
      </c>
      <c r="O195">
        <f t="shared" si="21"/>
        <v>0.11268156618726223</v>
      </c>
    </row>
    <row r="196" spans="5:15">
      <c r="E196" s="8">
        <f t="shared" si="22"/>
        <v>5.5</v>
      </c>
      <c r="F196">
        <f t="shared" si="18"/>
        <v>0.68212499999999998</v>
      </c>
      <c r="G196">
        <f t="shared" si="24"/>
        <v>6.3412299110048989E-2</v>
      </c>
      <c r="H196">
        <f t="shared" si="19"/>
        <v>1.5483856103042851E-2</v>
      </c>
      <c r="L196" s="8">
        <f t="shared" si="23"/>
        <v>13.200000000000417</v>
      </c>
      <c r="M196">
        <f t="shared" si="17"/>
        <v>0.56799999999999584</v>
      </c>
      <c r="N196">
        <f t="shared" si="20"/>
        <v>0.18264065003872226</v>
      </c>
      <c r="O196">
        <f t="shared" si="21"/>
        <v>0.10655127871269256</v>
      </c>
    </row>
    <row r="197" spans="5:15">
      <c r="E197" s="8">
        <f t="shared" si="22"/>
        <v>5.25</v>
      </c>
      <c r="F197">
        <f t="shared" si="18"/>
        <v>0.68293749999999998</v>
      </c>
      <c r="G197">
        <f t="shared" si="24"/>
        <v>6.0458549714293819E-2</v>
      </c>
      <c r="H197">
        <f t="shared" si="19"/>
        <v>1.474628494169088E-2</v>
      </c>
      <c r="L197" s="8">
        <f t="shared" si="23"/>
        <v>12.600000000000417</v>
      </c>
      <c r="M197">
        <f t="shared" si="17"/>
        <v>0.57399999999999585</v>
      </c>
      <c r="N197">
        <f t="shared" si="20"/>
        <v>0.17253027900358647</v>
      </c>
      <c r="O197">
        <f t="shared" si="21"/>
        <v>0.10054717768880402</v>
      </c>
    </row>
    <row r="198" spans="5:15">
      <c r="E198" s="8">
        <f t="shared" si="22"/>
        <v>5</v>
      </c>
      <c r="F198">
        <f t="shared" si="18"/>
        <v>0.68374999999999997</v>
      </c>
      <c r="G198">
        <f t="shared" si="24"/>
        <v>5.7511729819233214E-2</v>
      </c>
      <c r="H198">
        <f t="shared" si="19"/>
        <v>1.4010443633997198E-2</v>
      </c>
      <c r="L198" s="8">
        <f t="shared" si="23"/>
        <v>12.000000000000417</v>
      </c>
      <c r="M198">
        <f t="shared" si="17"/>
        <v>0.57999999999999585</v>
      </c>
      <c r="N198">
        <f t="shared" si="20"/>
        <v>0.16262697995909375</v>
      </c>
      <c r="O198">
        <f t="shared" si="21"/>
        <v>9.4665454393195278E-2</v>
      </c>
    </row>
    <row r="199" spans="5:15">
      <c r="E199" s="8">
        <f t="shared" si="22"/>
        <v>4.75</v>
      </c>
      <c r="F199">
        <f t="shared" si="18"/>
        <v>0.68456249999999996</v>
      </c>
      <c r="G199">
        <f t="shared" si="24"/>
        <v>5.4571819252744368E-2</v>
      </c>
      <c r="H199">
        <f t="shared" si="19"/>
        <v>1.3276327146276055E-2</v>
      </c>
      <c r="L199" s="8">
        <f t="shared" si="23"/>
        <v>11.400000000000418</v>
      </c>
      <c r="M199">
        <f t="shared" si="17"/>
        <v>0.58599999999999586</v>
      </c>
      <c r="N199">
        <f t="shared" si="20"/>
        <v>0.15292453468489067</v>
      </c>
      <c r="O199">
        <f t="shared" si="21"/>
        <v>8.8902451829916129E-2</v>
      </c>
    </row>
    <row r="200" spans="5:15">
      <c r="E200" s="8">
        <f t="shared" si="22"/>
        <v>4.5</v>
      </c>
      <c r="F200">
        <f t="shared" si="18"/>
        <v>0.68537499999999996</v>
      </c>
      <c r="G200">
        <f t="shared" si="24"/>
        <v>5.1638797917464077E-2</v>
      </c>
      <c r="H200">
        <f t="shared" si="19"/>
        <v>1.2543930463488879E-2</v>
      </c>
      <c r="L200" s="8">
        <f t="shared" si="23"/>
        <v>10.800000000000418</v>
      </c>
      <c r="M200">
        <f t="shared" si="17"/>
        <v>0.59199999999999586</v>
      </c>
      <c r="N200">
        <f t="shared" si="20"/>
        <v>0.14341697141482992</v>
      </c>
      <c r="O200">
        <f t="shared" si="21"/>
        <v>8.3254657248485076E-2</v>
      </c>
    </row>
    <row r="201" spans="5:15">
      <c r="E201" s="8">
        <f t="shared" si="22"/>
        <v>4.25</v>
      </c>
      <c r="F201">
        <f t="shared" si="18"/>
        <v>0.68618749999999995</v>
      </c>
      <c r="G201">
        <f t="shared" si="24"/>
        <v>4.8712645790446957E-2</v>
      </c>
      <c r="H201">
        <f t="shared" si="19"/>
        <v>1.1813248589159081E-2</v>
      </c>
      <c r="L201" s="8">
        <f t="shared" si="23"/>
        <v>10.200000000000419</v>
      </c>
      <c r="M201">
        <f t="shared" si="17"/>
        <v>0.59799999999999587</v>
      </c>
      <c r="N201">
        <f t="shared" si="20"/>
        <v>0.13409855274678717</v>
      </c>
      <c r="O201">
        <f t="shared" si="21"/>
        <v>7.7718695101221494E-2</v>
      </c>
    </row>
    <row r="202" spans="5:15">
      <c r="E202" s="8">
        <f t="shared" si="22"/>
        <v>4</v>
      </c>
      <c r="F202">
        <f t="shared" si="18"/>
        <v>0.68699999999999994</v>
      </c>
      <c r="G202">
        <f t="shared" si="24"/>
        <v>4.5793342922825692E-2</v>
      </c>
      <c r="H202">
        <f t="shared" si="19"/>
        <v>1.1084276545287333E-2</v>
      </c>
      <c r="L202" s="8">
        <f t="shared" si="23"/>
        <v>9.6000000000004189</v>
      </c>
      <c r="M202">
        <f t="shared" si="17"/>
        <v>0.60399999999999576</v>
      </c>
      <c r="N202">
        <f t="shared" si="20"/>
        <v>0.12496376425728463</v>
      </c>
      <c r="O202">
        <f t="shared" si="21"/>
        <v>7.2291320409219997E-2</v>
      </c>
    </row>
    <row r="203" spans="5:15">
      <c r="E203" s="8">
        <f t="shared" si="22"/>
        <v>3.75</v>
      </c>
      <c r="F203">
        <f t="shared" si="18"/>
        <v>0.68781249999999994</v>
      </c>
      <c r="G203">
        <f t="shared" si="24"/>
        <v>4.2880869439472974E-2</v>
      </c>
      <c r="H203">
        <f t="shared" si="19"/>
        <v>1.0357009372267304E-2</v>
      </c>
      <c r="L203" s="8">
        <f t="shared" si="23"/>
        <v>9.0000000000004192</v>
      </c>
      <c r="M203">
        <f t="shared" si="17"/>
        <v>0.60999999999999577</v>
      </c>
      <c r="N203">
        <f t="shared" si="20"/>
        <v>0.11600730377344884</v>
      </c>
      <c r="O203">
        <f t="shared" si="21"/>
        <v>6.6969412509568865E-2</v>
      </c>
    </row>
    <row r="204" spans="5:15">
      <c r="E204" s="8">
        <f t="shared" si="22"/>
        <v>3.5</v>
      </c>
      <c r="F204">
        <f t="shared" si="18"/>
        <v>0.68862499999999993</v>
      </c>
      <c r="G204">
        <f t="shared" si="24"/>
        <v>3.9975205538665459E-2</v>
      </c>
      <c r="H204">
        <f t="shared" si="19"/>
        <v>9.6314421288018655E-3</v>
      </c>
      <c r="L204" s="8">
        <f t="shared" si="23"/>
        <v>8.4000000000004196</v>
      </c>
      <c r="M204">
        <f t="shared" si="17"/>
        <v>0.61599999999999577</v>
      </c>
      <c r="N204">
        <f t="shared" si="20"/>
        <v>0.10722407125844752</v>
      </c>
      <c r="O204">
        <f t="shared" si="21"/>
        <v>6.1749969158493241E-2</v>
      </c>
    </row>
    <row r="205" spans="5:15">
      <c r="E205" s="8">
        <f t="shared" si="22"/>
        <v>3.25</v>
      </c>
      <c r="F205">
        <f t="shared" si="18"/>
        <v>0.68943749999999993</v>
      </c>
      <c r="G205">
        <f t="shared" si="24"/>
        <v>3.7076331491749458E-2</v>
      </c>
      <c r="H205">
        <f t="shared" si="19"/>
        <v>8.9075698918197263E-3</v>
      </c>
      <c r="L205" s="8">
        <f t="shared" si="23"/>
        <v>7.8000000000004199</v>
      </c>
      <c r="M205">
        <f t="shared" si="17"/>
        <v>0.62199999999999578</v>
      </c>
      <c r="N205">
        <f t="shared" si="20"/>
        <v>9.8609159269863425E-2</v>
      </c>
      <c r="O205">
        <f t="shared" si="21"/>
        <v>5.6630100967008046E-2</v>
      </c>
    </row>
    <row r="206" spans="5:15">
      <c r="E206" s="8">
        <f t="shared" si="22"/>
        <v>3</v>
      </c>
      <c r="F206">
        <f t="shared" si="18"/>
        <v>0.69025000000000003</v>
      </c>
      <c r="G206">
        <f t="shared" si="24"/>
        <v>3.418422764280836E-2</v>
      </c>
      <c r="H206">
        <f t="shared" si="19"/>
        <v>8.1853877563925585E-3</v>
      </c>
      <c r="L206" s="8">
        <f t="shared" si="23"/>
        <v>7.2000000000004203</v>
      </c>
      <c r="M206">
        <f t="shared" si="17"/>
        <v>0.62799999999999578</v>
      </c>
      <c r="N206">
        <f t="shared" si="20"/>
        <v>9.0157843953496852E-2</v>
      </c>
      <c r="O206">
        <f t="shared" si="21"/>
        <v>5.1607026147409384E-2</v>
      </c>
    </row>
    <row r="207" spans="5:15">
      <c r="E207" s="8">
        <f t="shared" si="22"/>
        <v>2.75</v>
      </c>
      <c r="F207">
        <f t="shared" si="18"/>
        <v>0.69106249999999991</v>
      </c>
      <c r="G207">
        <f t="shared" si="24"/>
        <v>3.1298874408332102E-2</v>
      </c>
      <c r="H207">
        <f t="shared" si="19"/>
        <v>7.4648908356525316E-3</v>
      </c>
      <c r="L207" s="8">
        <f t="shared" si="23"/>
        <v>6.6000000000004206</v>
      </c>
      <c r="M207">
        <f t="shared" si="17"/>
        <v>0.63399999999999579</v>
      </c>
      <c r="N207">
        <f t="shared" si="20"/>
        <v>8.1865576537867843E-2</v>
      </c>
      <c r="O207">
        <f t="shared" si="21"/>
        <v>4.6678065550532652E-2</v>
      </c>
    </row>
    <row r="208" spans="5:15">
      <c r="E208" s="8">
        <f t="shared" si="22"/>
        <v>2.5</v>
      </c>
      <c r="F208">
        <f t="shared" si="18"/>
        <v>0.69187500000000002</v>
      </c>
      <c r="G208">
        <f t="shared" si="24"/>
        <v>2.8420252276888151E-2</v>
      </c>
      <c r="H208">
        <f t="shared" si="19"/>
        <v>6.7460742607103365E-3</v>
      </c>
      <c r="L208" s="8">
        <f t="shared" si="23"/>
        <v>6.000000000000421</v>
      </c>
      <c r="M208">
        <f t="shared" si="17"/>
        <v>0.63999999999999579</v>
      </c>
      <c r="N208">
        <f t="shared" si="20"/>
        <v>7.3727975297241094E-2</v>
      </c>
      <c r="O208">
        <f t="shared" si="21"/>
        <v>4.18406379751734E-2</v>
      </c>
    </row>
    <row r="209" spans="5:15">
      <c r="E209" s="8">
        <f t="shared" si="22"/>
        <v>2.25</v>
      </c>
      <c r="F209">
        <f t="shared" si="18"/>
        <v>0.6926874999999999</v>
      </c>
      <c r="G209">
        <f t="shared" si="24"/>
        <v>2.5548341808794537E-2</v>
      </c>
      <c r="H209">
        <f t="shared" si="19"/>
        <v>6.0289331805736188E-3</v>
      </c>
      <c r="L209" s="8">
        <f t="shared" si="23"/>
        <v>5.4000000000004214</v>
      </c>
      <c r="M209">
        <f t="shared" si="17"/>
        <v>0.6459999999999958</v>
      </c>
      <c r="N209">
        <f t="shared" si="20"/>
        <v>6.5740817953336986E-2</v>
      </c>
      <c r="O209">
        <f t="shared" si="21"/>
        <v>3.7092255732414633E-2</v>
      </c>
    </row>
    <row r="210" spans="5:15">
      <c r="E210" s="8">
        <f t="shared" si="22"/>
        <v>2</v>
      </c>
      <c r="F210">
        <f t="shared" si="18"/>
        <v>0.69350000000000001</v>
      </c>
      <c r="G210">
        <f t="shared" si="24"/>
        <v>2.268312363579441E-2</v>
      </c>
      <c r="H210">
        <f t="shared" si="19"/>
        <v>5.3134627620658754E-3</v>
      </c>
      <c r="L210" s="8">
        <f t="shared" si="23"/>
        <v>4.8000000000004217</v>
      </c>
      <c r="M210">
        <f t="shared" ref="M210:M218" si="25">IF(L210&lt;=25,$K$25+($K$26-$K$25)/25*(25-L210),IF(L210&lt;=40,$K$24+($K$25-$K$24)/15*(40-L210),IF(L210&lt;=60,$K$23+($K$24-$K$23)/20*(60-L210),IF(L210&lt;=80,$K$22+($K$23-$K$22)/20*(80-L210),IF(L210&lt;=100,$K$21+($K$22-$K$21)/20*(100-L210),IF(L210&lt;=120,$K$20+($K$21-$K$20)/20*(120-L210)))))))</f>
        <v>0.65199999999999569</v>
      </c>
      <c r="N210">
        <f t="shared" si="20"/>
        <v>5.7900034488045204E-2</v>
      </c>
      <c r="O210">
        <f t="shared" si="21"/>
        <v>3.2430520448844175E-2</v>
      </c>
    </row>
    <row r="211" spans="5:15">
      <c r="E211" s="8">
        <f t="shared" si="22"/>
        <v>1.75</v>
      </c>
      <c r="F211">
        <f t="shared" ref="F211:F218" si="26">IF(E211&lt;=80,$D$22+($D$23-$D$22)/80*(80-E211),IF(E211&lt;=100,$D$21+($D$22-$D$21)/20*(100-E211),IF(E211&lt;=120,$D$20+($D$21-$D$20)/20*(120-E211),IF(E211&lt;=140,$D$19+($D$20-$D$19)/20*(140-E211),IF(E211&lt;=160,$D$18+($D$19-$D$18)/20*(140-E211))))))</f>
        <v>0.69431249999999989</v>
      </c>
      <c r="G211">
        <f t="shared" si="24"/>
        <v>1.982457846073259E-2</v>
      </c>
      <c r="H211">
        <f t="shared" ref="H211:H217" si="27">(G211+G212)/2*(E211-E212)</f>
        <v>4.5996581897457828E-3</v>
      </c>
      <c r="L211" s="8">
        <f t="shared" si="23"/>
        <v>4.2000000000004221</v>
      </c>
      <c r="M211">
        <f t="shared" si="25"/>
        <v>0.6579999999999957</v>
      </c>
      <c r="N211">
        <f t="shared" ref="N211:N218" si="28">1/3.6^2*L211/($M$13*(M211+$M$12/100)+$M$11*L211^2)</f>
        <v>5.0201700341435458E-2</v>
      </c>
      <c r="O211">
        <f t="shared" ref="O211:O217" si="29">(N211+N212)/2*(L211-L212)</f>
        <v>2.7853119093784996E-2</v>
      </c>
    </row>
    <row r="212" spans="5:15">
      <c r="E212" s="8">
        <f t="shared" ref="E212:E218" si="30">E211-($F$4-$F$5)/200</f>
        <v>1.5</v>
      </c>
      <c r="F212">
        <f t="shared" si="26"/>
        <v>0.69512499999999999</v>
      </c>
      <c r="G212">
        <f t="shared" si="24"/>
        <v>1.6972687057233669E-2</v>
      </c>
      <c r="H212">
        <f t="shared" si="27"/>
        <v>3.8875146658269603E-3</v>
      </c>
      <c r="L212" s="8">
        <f t="shared" ref="L212:L218" si="31">L211-($M$4-$M$5)/200</f>
        <v>3.600000000000422</v>
      </c>
      <c r="M212">
        <f t="shared" si="25"/>
        <v>0.6639999999999957</v>
      </c>
      <c r="N212">
        <f t="shared" si="28"/>
        <v>4.2642029971181182E-2</v>
      </c>
      <c r="O212">
        <f t="shared" si="29"/>
        <v>2.3357820216711119E-2</v>
      </c>
    </row>
    <row r="213" spans="5:15">
      <c r="E213" s="8">
        <f t="shared" si="30"/>
        <v>1.25</v>
      </c>
      <c r="F213">
        <f t="shared" si="26"/>
        <v>0.69593749999999988</v>
      </c>
      <c r="G213">
        <f t="shared" si="24"/>
        <v>1.4127430269382015E-2</v>
      </c>
      <c r="H213">
        <f t="shared" si="27"/>
        <v>3.1770274100981731E-3</v>
      </c>
      <c r="L213" s="8">
        <f t="shared" si="31"/>
        <v>3.0000000000004219</v>
      </c>
      <c r="M213">
        <f t="shared" si="25"/>
        <v>0.66999999999999571</v>
      </c>
      <c r="N213">
        <f t="shared" si="28"/>
        <v>3.5217370751189192E-2</v>
      </c>
      <c r="O213">
        <f t="shared" si="29"/>
        <v>1.8942470381989047E-2</v>
      </c>
    </row>
    <row r="214" spans="5:15">
      <c r="E214" s="8">
        <f t="shared" si="30"/>
        <v>1</v>
      </c>
      <c r="F214">
        <f t="shared" si="26"/>
        <v>0.69674999999999998</v>
      </c>
      <c r="G214">
        <f t="shared" si="24"/>
        <v>1.1288789011403368E-2</v>
      </c>
      <c r="H214">
        <f t="shared" si="27"/>
        <v>2.4681916598439553E-3</v>
      </c>
      <c r="L214" s="8">
        <f t="shared" si="31"/>
        <v>2.4000000000004218</v>
      </c>
      <c r="M214">
        <f t="shared" si="25"/>
        <v>0.67599999999999572</v>
      </c>
      <c r="N214">
        <f t="shared" si="28"/>
        <v>2.7924197188774282E-2</v>
      </c>
      <c r="O214">
        <f t="shared" si="29"/>
        <v>1.4604990788975316E-2</v>
      </c>
    </row>
    <row r="215" spans="5:15">
      <c r="E215" s="8">
        <f t="shared" si="30"/>
        <v>0.75</v>
      </c>
      <c r="F215">
        <f t="shared" si="26"/>
        <v>0.69756249999999997</v>
      </c>
      <c r="G215">
        <f t="shared" si="24"/>
        <v>8.4567442673482724E-3</v>
      </c>
      <c r="H215">
        <f t="shared" si="27"/>
        <v>1.7610026697656754E-3</v>
      </c>
      <c r="L215" s="8">
        <f t="shared" si="31"/>
        <v>1.8000000000004217</v>
      </c>
      <c r="M215">
        <f t="shared" si="25"/>
        <v>0.68199999999999572</v>
      </c>
      <c r="N215">
        <f t="shared" si="28"/>
        <v>2.0759105441143434E-2</v>
      </c>
      <c r="O215">
        <f t="shared" si="29"/>
        <v>1.0343374066324178E-2</v>
      </c>
    </row>
    <row r="216" spans="5:15">
      <c r="E216" s="8">
        <f t="shared" si="30"/>
        <v>0.5</v>
      </c>
      <c r="F216">
        <f t="shared" si="26"/>
        <v>0.69837499999999997</v>
      </c>
      <c r="G216">
        <f t="shared" si="24"/>
        <v>5.6312770907771302E-3</v>
      </c>
      <c r="H216">
        <f t="shared" si="27"/>
        <v>1.0554557119030143E-3</v>
      </c>
      <c r="L216" s="8">
        <f t="shared" si="31"/>
        <v>1.2000000000004216</v>
      </c>
      <c r="M216">
        <f t="shared" si="25"/>
        <v>0.68799999999999573</v>
      </c>
      <c r="N216">
        <f t="shared" si="28"/>
        <v>1.3718808113270489E-2</v>
      </c>
      <c r="O216">
        <f t="shared" si="29"/>
        <v>6.1556812301184725E-3</v>
      </c>
    </row>
    <row r="217" spans="5:15">
      <c r="E217" s="8">
        <f t="shared" si="30"/>
        <v>0.25</v>
      </c>
      <c r="F217">
        <f t="shared" si="26"/>
        <v>0.69918749999999996</v>
      </c>
      <c r="G217">
        <f t="shared" si="24"/>
        <v>2.8123686044469846E-3</v>
      </c>
      <c r="H217">
        <f t="shared" si="27"/>
        <v>3.5154607555587308E-4</v>
      </c>
      <c r="L217" s="8">
        <f t="shared" si="31"/>
        <v>0.60000000000042164</v>
      </c>
      <c r="M217">
        <f t="shared" si="25"/>
        <v>0.69399999999999573</v>
      </c>
      <c r="N217">
        <f t="shared" si="28"/>
        <v>6.8001293204577535E-3</v>
      </c>
      <c r="O217">
        <f t="shared" si="29"/>
        <v>2.0400387961387475E-3</v>
      </c>
    </row>
    <row r="218" spans="5:15">
      <c r="E218" s="8">
        <f t="shared" si="30"/>
        <v>0</v>
      </c>
      <c r="F218">
        <f t="shared" si="26"/>
        <v>0.7</v>
      </c>
      <c r="G218">
        <f t="shared" si="24"/>
        <v>0</v>
      </c>
      <c r="L218" s="8">
        <f t="shared" si="31"/>
        <v>4.2166270475263445E-13</v>
      </c>
      <c r="M218">
        <f t="shared" si="25"/>
        <v>0.69999999999999574</v>
      </c>
      <c r="N218">
        <f t="shared" si="28"/>
        <v>4.7379791069185443E-15</v>
      </c>
    </row>
    <row r="219" spans="5:15">
      <c r="E219" s="8"/>
      <c r="L219" s="8"/>
    </row>
    <row r="220" spans="5:15">
      <c r="E220" s="8"/>
      <c r="L220" s="8"/>
    </row>
    <row r="221" spans="5:15">
      <c r="E221" s="8"/>
      <c r="L221" s="8"/>
    </row>
  </sheetData>
  <mergeCells count="2">
    <mergeCell ref="E3:H3"/>
    <mergeCell ref="L3:O3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6"/>
  <dimension ref="C1:R216"/>
  <sheetViews>
    <sheetView workbookViewId="0">
      <pane ySplit="1" topLeftCell="A173" activePane="bottomLeft" state="frozen"/>
      <selection pane="bottomLeft" activeCell="L190" sqref="L190"/>
    </sheetView>
  </sheetViews>
  <sheetFormatPr defaultColWidth="14.42578125" defaultRowHeight="12.75"/>
  <cols>
    <col min="1" max="2" width="2.85546875" style="296" customWidth="1"/>
    <col min="3" max="16384" width="14.42578125" style="296"/>
  </cols>
  <sheetData>
    <row r="1" spans="3:18" ht="13.5" thickBot="1">
      <c r="C1" s="291" t="s">
        <v>25</v>
      </c>
      <c r="D1" s="292" t="s">
        <v>21</v>
      </c>
      <c r="E1" s="293" t="s">
        <v>22</v>
      </c>
      <c r="F1" s="294" t="s">
        <v>23</v>
      </c>
      <c r="G1" s="295" t="s">
        <v>24</v>
      </c>
    </row>
    <row r="2" spans="3:18" ht="13.5" thickBot="1"/>
    <row r="3" spans="3:18" ht="13.5" thickBot="1">
      <c r="C3" s="1173" t="s">
        <v>849</v>
      </c>
      <c r="D3" s="1174"/>
      <c r="E3" s="1174"/>
      <c r="F3" s="1174"/>
      <c r="G3" s="1175"/>
      <c r="H3"/>
      <c r="I3"/>
      <c r="J3"/>
      <c r="K3"/>
      <c r="L3"/>
      <c r="M3"/>
      <c r="N3"/>
      <c r="O3"/>
      <c r="P3"/>
      <c r="Q3"/>
      <c r="R3"/>
    </row>
    <row r="4" spans="3:18" ht="13.5" thickBot="1"/>
    <row r="5" spans="3:18" ht="13.5" thickBot="1">
      <c r="C5" s="1173" t="s">
        <v>850</v>
      </c>
      <c r="D5" s="1174"/>
      <c r="E5" s="1174"/>
      <c r="F5" s="1174"/>
      <c r="G5" s="1175"/>
      <c r="H5" s="181"/>
      <c r="I5" s="181"/>
      <c r="J5" s="181"/>
      <c r="K5" s="181"/>
      <c r="L5" s="181"/>
      <c r="M5" s="181"/>
      <c r="N5" s="181"/>
      <c r="O5" s="181"/>
      <c r="P5" s="181"/>
    </row>
    <row r="6" spans="3:18" ht="13.5" thickBot="1"/>
    <row r="7" spans="3:18" ht="13.5" thickBot="1">
      <c r="C7" s="1193" t="s">
        <v>873</v>
      </c>
      <c r="D7" s="1194"/>
      <c r="F7" s="1193" t="s">
        <v>879</v>
      </c>
      <c r="G7" s="1194"/>
    </row>
    <row r="8" spans="3:18" ht="13.5" thickBot="1"/>
    <row r="9" spans="3:18" ht="13.5" thickBot="1">
      <c r="C9" s="1198" t="s">
        <v>73</v>
      </c>
      <c r="D9" s="1199"/>
      <c r="F9" s="1198" t="s">
        <v>75</v>
      </c>
      <c r="G9" s="1199"/>
    </row>
    <row r="10" spans="3:18">
      <c r="C10" s="266" t="s">
        <v>74</v>
      </c>
      <c r="D10" s="297">
        <v>140</v>
      </c>
      <c r="F10" s="266" t="s">
        <v>74</v>
      </c>
      <c r="G10" s="297">
        <v>140</v>
      </c>
    </row>
    <row r="11" spans="3:18" ht="13.5" thickBot="1">
      <c r="C11" s="298" t="s">
        <v>958</v>
      </c>
      <c r="D11" s="299">
        <f>22*D10</f>
        <v>3080</v>
      </c>
      <c r="F11" s="300" t="s">
        <v>19</v>
      </c>
      <c r="G11" s="301">
        <v>280</v>
      </c>
    </row>
    <row r="12" spans="3:18" ht="13.5" thickBot="1">
      <c r="F12" s="300" t="s">
        <v>76</v>
      </c>
      <c r="G12" s="302">
        <f>CEILING(G10/3.6*2.5,0.1)</f>
        <v>97.300000000000011</v>
      </c>
    </row>
    <row r="13" spans="3:18" ht="13.5" thickBot="1">
      <c r="C13" s="1198" t="s">
        <v>28</v>
      </c>
      <c r="D13" s="1199"/>
      <c r="E13" s="181"/>
      <c r="F13" s="298" t="s">
        <v>77</v>
      </c>
      <c r="G13" s="303">
        <f>CEILING(G12/G11*180/PI(),0.1)</f>
        <v>20</v>
      </c>
      <c r="H13" s="181"/>
      <c r="I13" s="181"/>
      <c r="J13" s="181"/>
      <c r="K13" s="181"/>
      <c r="L13" s="181"/>
      <c r="M13" s="181"/>
      <c r="N13" s="181"/>
      <c r="O13" s="181"/>
      <c r="P13" s="181"/>
    </row>
    <row r="14" spans="3:18" ht="13.5" thickBot="1">
      <c r="C14" s="304" t="s">
        <v>18</v>
      </c>
      <c r="D14" s="305" t="s">
        <v>371</v>
      </c>
      <c r="E14" s="181"/>
      <c r="H14" s="181"/>
      <c r="I14" s="181"/>
      <c r="L14" s="181"/>
      <c r="M14" s="181"/>
      <c r="N14" s="181"/>
      <c r="O14" s="181"/>
      <c r="P14" s="181"/>
    </row>
    <row r="15" spans="3:18" ht="13.5" thickBot="1">
      <c r="C15" s="300">
        <v>40</v>
      </c>
      <c r="D15" s="306">
        <v>30</v>
      </c>
      <c r="E15" s="181"/>
      <c r="F15" s="1202" t="s">
        <v>868</v>
      </c>
      <c r="G15" s="1204"/>
      <c r="H15" s="181"/>
      <c r="I15" s="181"/>
      <c r="L15" s="181"/>
      <c r="M15" s="181"/>
      <c r="N15" s="181"/>
      <c r="O15" s="181"/>
      <c r="P15" s="181"/>
    </row>
    <row r="16" spans="3:18">
      <c r="C16" s="300">
        <v>50</v>
      </c>
      <c r="D16" s="306">
        <v>40</v>
      </c>
      <c r="E16" s="181"/>
      <c r="F16" s="307" t="s">
        <v>908</v>
      </c>
      <c r="G16" s="308" t="s">
        <v>911</v>
      </c>
      <c r="H16" s="181"/>
      <c r="I16" s="181"/>
      <c r="L16" s="181"/>
      <c r="M16" s="181"/>
      <c r="N16" s="181"/>
      <c r="O16" s="181"/>
      <c r="P16" s="181"/>
    </row>
    <row r="17" spans="3:16" ht="13.5" thickBot="1">
      <c r="C17" s="300">
        <v>60</v>
      </c>
      <c r="D17" s="306">
        <v>50</v>
      </c>
      <c r="E17" s="181"/>
      <c r="F17" s="309" t="s">
        <v>909</v>
      </c>
      <c r="G17" s="310" t="s">
        <v>910</v>
      </c>
      <c r="H17" s="181"/>
      <c r="I17" s="181"/>
      <c r="L17" s="181"/>
      <c r="M17" s="181"/>
      <c r="N17" s="181"/>
      <c r="O17" s="181"/>
      <c r="P17" s="181"/>
    </row>
    <row r="18" spans="3:16" ht="13.5" thickBot="1">
      <c r="C18" s="300">
        <v>70</v>
      </c>
      <c r="D18" s="306">
        <v>65</v>
      </c>
      <c r="E18" s="181"/>
      <c r="H18" s="181"/>
      <c r="I18" s="181"/>
      <c r="L18" s="181"/>
      <c r="M18" s="181"/>
      <c r="N18" s="181"/>
      <c r="O18" s="181"/>
      <c r="P18" s="181"/>
    </row>
    <row r="19" spans="3:16" ht="13.5" thickBot="1">
      <c r="C19" s="300">
        <v>80</v>
      </c>
      <c r="D19" s="306">
        <v>90</v>
      </c>
      <c r="E19" s="181"/>
      <c r="F19" s="1200" t="s">
        <v>853</v>
      </c>
      <c r="G19" s="1201"/>
      <c r="H19" s="181"/>
      <c r="I19" s="181"/>
      <c r="L19" s="181"/>
      <c r="M19" s="181"/>
      <c r="N19" s="181"/>
      <c r="O19" s="181"/>
      <c r="P19" s="181"/>
    </row>
    <row r="20" spans="3:16">
      <c r="C20" s="300">
        <v>90</v>
      </c>
      <c r="D20" s="306">
        <v>115</v>
      </c>
      <c r="E20" s="181"/>
      <c r="F20" s="175" t="s">
        <v>854</v>
      </c>
      <c r="G20" s="174" t="s">
        <v>855</v>
      </c>
      <c r="H20" s="181"/>
      <c r="I20" s="181"/>
      <c r="L20" s="181"/>
      <c r="M20" s="181"/>
      <c r="N20" s="181"/>
      <c r="O20" s="181"/>
      <c r="P20" s="181"/>
    </row>
    <row r="21" spans="3:16">
      <c r="C21" s="300">
        <v>100</v>
      </c>
      <c r="D21" s="306">
        <v>150</v>
      </c>
      <c r="E21" s="181"/>
      <c r="F21" s="311">
        <v>80</v>
      </c>
      <c r="G21" s="312" t="s">
        <v>856</v>
      </c>
      <c r="H21" s="181"/>
      <c r="I21" s="181"/>
      <c r="L21" s="181"/>
      <c r="M21" s="181"/>
      <c r="N21" s="181"/>
      <c r="O21" s="181"/>
      <c r="P21" s="181"/>
    </row>
    <row r="22" spans="3:16">
      <c r="C22" s="300">
        <v>110</v>
      </c>
      <c r="D22" s="306">
        <v>190</v>
      </c>
      <c r="E22" s="181"/>
      <c r="F22" s="311">
        <v>100</v>
      </c>
      <c r="G22" s="312" t="s">
        <v>857</v>
      </c>
      <c r="H22" s="181"/>
      <c r="I22" s="181"/>
      <c r="L22" s="181"/>
      <c r="M22" s="181"/>
      <c r="N22" s="181"/>
      <c r="O22" s="181"/>
      <c r="P22" s="181"/>
    </row>
    <row r="23" spans="3:16">
      <c r="C23" s="300">
        <v>120</v>
      </c>
      <c r="D23" s="306">
        <v>250</v>
      </c>
      <c r="E23" s="181"/>
      <c r="F23" s="311">
        <v>200</v>
      </c>
      <c r="G23" s="312" t="s">
        <v>858</v>
      </c>
      <c r="H23" s="181"/>
      <c r="I23" s="181"/>
      <c r="L23" s="181"/>
      <c r="M23" s="181"/>
      <c r="N23" s="181"/>
      <c r="O23" s="181"/>
      <c r="P23" s="181"/>
    </row>
    <row r="24" spans="3:16">
      <c r="C24" s="300">
        <v>130</v>
      </c>
      <c r="D24" s="306">
        <v>300</v>
      </c>
      <c r="E24" s="181"/>
      <c r="F24" s="311">
        <v>300</v>
      </c>
      <c r="G24" s="312" t="s">
        <v>859</v>
      </c>
      <c r="H24" s="181"/>
      <c r="I24" s="181"/>
      <c r="L24" s="181"/>
      <c r="M24" s="181"/>
      <c r="N24" s="181"/>
      <c r="O24" s="181"/>
      <c r="P24" s="181"/>
    </row>
    <row r="25" spans="3:16">
      <c r="C25" s="300">
        <v>140</v>
      </c>
      <c r="D25" s="306">
        <v>360</v>
      </c>
      <c r="E25" s="181"/>
      <c r="F25" s="311">
        <v>400</v>
      </c>
      <c r="G25" s="312" t="s">
        <v>860</v>
      </c>
      <c r="H25" s="181"/>
      <c r="I25" s="181"/>
      <c r="L25" s="181"/>
      <c r="M25" s="181"/>
      <c r="N25" s="181"/>
      <c r="O25" s="181"/>
      <c r="P25" s="181"/>
    </row>
    <row r="26" spans="3:16">
      <c r="C26" s="300">
        <v>150</v>
      </c>
      <c r="D26" s="306">
        <v>420</v>
      </c>
      <c r="E26" s="181"/>
      <c r="F26" s="311">
        <v>500</v>
      </c>
      <c r="G26" s="312" t="s">
        <v>861</v>
      </c>
      <c r="H26" s="181"/>
      <c r="I26" s="181"/>
      <c r="L26" s="181"/>
      <c r="M26" s="181"/>
      <c r="N26" s="181"/>
      <c r="O26" s="181"/>
      <c r="P26" s="181"/>
    </row>
    <row r="27" spans="3:16" ht="13.5" thickBot="1">
      <c r="C27" s="298">
        <v>160</v>
      </c>
      <c r="D27" s="310">
        <v>480</v>
      </c>
      <c r="E27" s="181"/>
      <c r="F27" s="311">
        <v>600</v>
      </c>
      <c r="G27" s="312" t="s">
        <v>862</v>
      </c>
      <c r="H27" s="181"/>
      <c r="I27" s="181"/>
      <c r="L27" s="181"/>
      <c r="M27" s="181"/>
      <c r="N27" s="181"/>
      <c r="O27" s="181"/>
      <c r="P27" s="181"/>
    </row>
    <row r="28" spans="3:16">
      <c r="F28" s="311">
        <v>700</v>
      </c>
      <c r="G28" s="312" t="s">
        <v>863</v>
      </c>
    </row>
    <row r="29" spans="3:16">
      <c r="E29" s="181"/>
      <c r="F29" s="311">
        <v>800</v>
      </c>
      <c r="G29" s="312" t="s">
        <v>864</v>
      </c>
    </row>
    <row r="30" spans="3:16">
      <c r="F30" s="311">
        <v>900</v>
      </c>
      <c r="G30" s="312" t="s">
        <v>865</v>
      </c>
    </row>
    <row r="31" spans="3:16">
      <c r="F31" s="311">
        <v>1000</v>
      </c>
      <c r="G31" s="312" t="s">
        <v>866</v>
      </c>
    </row>
    <row r="32" spans="3:16" ht="13.5" thickBot="1">
      <c r="E32" s="181"/>
      <c r="F32" s="313">
        <v>1500</v>
      </c>
      <c r="G32" s="314" t="s">
        <v>867</v>
      </c>
    </row>
    <row r="33" spans="3:18" ht="13.5" thickBot="1">
      <c r="E33" s="181"/>
      <c r="F33" s="181"/>
    </row>
    <row r="34" spans="3:18" ht="13.5" thickBot="1">
      <c r="C34" s="1173" t="s">
        <v>851</v>
      </c>
      <c r="D34" s="1174"/>
      <c r="E34" s="1174"/>
      <c r="F34" s="1174"/>
      <c r="G34" s="1174"/>
      <c r="H34" s="1174"/>
      <c r="I34" s="1174"/>
      <c r="J34" s="1174"/>
      <c r="K34" s="1174"/>
      <c r="L34" s="1174"/>
      <c r="M34" s="1174"/>
      <c r="N34" s="1175"/>
      <c r="O34"/>
      <c r="P34"/>
      <c r="Q34"/>
      <c r="R34"/>
    </row>
    <row r="35" spans="3:18" ht="13.5" thickBot="1"/>
    <row r="36" spans="3:18" ht="13.5" thickBot="1">
      <c r="C36" s="1193" t="s">
        <v>1116</v>
      </c>
      <c r="D36" s="1194"/>
    </row>
    <row r="37" spans="3:18" ht="13.5" thickBot="1">
      <c r="C37" s="315"/>
      <c r="D37" s="315"/>
    </row>
    <row r="38" spans="3:18">
      <c r="C38" s="175" t="s">
        <v>18</v>
      </c>
      <c r="D38" s="316">
        <f>SQRT((D40/100+D41)*127*D39)</f>
        <v>123.45039489608773</v>
      </c>
      <c r="E38" s="317">
        <v>100</v>
      </c>
      <c r="F38" s="317">
        <v>50</v>
      </c>
      <c r="G38" s="318">
        <v>50</v>
      </c>
    </row>
    <row r="39" spans="3:18">
      <c r="C39" s="92" t="s">
        <v>19</v>
      </c>
      <c r="D39" s="173">
        <v>800</v>
      </c>
      <c r="E39" s="319">
        <f>E38^2/127/(E40/100+E41)</f>
        <v>437.44531933508313</v>
      </c>
      <c r="F39" s="173">
        <v>80</v>
      </c>
      <c r="G39" s="320">
        <v>80</v>
      </c>
    </row>
    <row r="40" spans="3:18">
      <c r="C40" s="92" t="s">
        <v>20</v>
      </c>
      <c r="D40" s="321">
        <v>5</v>
      </c>
      <c r="E40" s="321">
        <v>7</v>
      </c>
      <c r="F40" s="322">
        <f>(F38^2/F39/127-F41)*100</f>
        <v>5.6062992125984259</v>
      </c>
      <c r="G40" s="323">
        <v>5</v>
      </c>
    </row>
    <row r="41" spans="3:18" ht="13.5" thickBot="1">
      <c r="C41" s="93" t="s">
        <v>874</v>
      </c>
      <c r="D41" s="324">
        <v>0.1</v>
      </c>
      <c r="E41" s="324">
        <v>0.11</v>
      </c>
      <c r="F41" s="324">
        <v>0.19</v>
      </c>
      <c r="G41" s="325">
        <f>G38^2/G39/127-G40/100</f>
        <v>0.19606299212598427</v>
      </c>
      <c r="H41" s="326" t="s">
        <v>875</v>
      </c>
    </row>
    <row r="42" spans="3:18" ht="13.5" thickBot="1"/>
    <row r="43" spans="3:18" ht="13.5" thickBot="1">
      <c r="C43" s="1202" t="s">
        <v>869</v>
      </c>
      <c r="D43" s="1203"/>
      <c r="E43" s="1204"/>
      <c r="H43" s="1053" t="s">
        <v>387</v>
      </c>
      <c r="I43" s="291"/>
      <c r="J43" s="1054">
        <v>2</v>
      </c>
      <c r="L43" s="1053" t="s">
        <v>387</v>
      </c>
      <c r="M43" s="291"/>
      <c r="N43" s="1054">
        <v>2</v>
      </c>
    </row>
    <row r="44" spans="3:18" ht="13.5" thickBot="1">
      <c r="C44" s="304" t="s">
        <v>72</v>
      </c>
      <c r="D44" s="327" t="s">
        <v>835</v>
      </c>
      <c r="E44" s="305" t="s">
        <v>836</v>
      </c>
      <c r="F44" s="296" t="s">
        <v>400</v>
      </c>
      <c r="G44" s="296" t="s">
        <v>400</v>
      </c>
      <c r="H44" s="1195" t="s">
        <v>388</v>
      </c>
      <c r="I44" s="1196"/>
      <c r="J44" s="1197"/>
      <c r="L44" s="1195" t="s">
        <v>397</v>
      </c>
      <c r="M44" s="1196"/>
      <c r="N44" s="1197"/>
    </row>
    <row r="45" spans="3:18">
      <c r="C45" s="328">
        <v>25</v>
      </c>
      <c r="D45" s="329"/>
      <c r="E45" s="330">
        <v>0.22</v>
      </c>
      <c r="F45" s="331"/>
      <c r="G45" s="331">
        <f t="shared" ref="G45:G50" si="0">-7.68398268*10^-7*C45^3+1.00811688*10^-4*C45^2-4.74134199*10^-3*C45+2.87532468*10^-1</f>
        <v>0.2200000003125</v>
      </c>
      <c r="H45" s="1048" t="s">
        <v>18</v>
      </c>
      <c r="I45" s="332">
        <v>80</v>
      </c>
      <c r="J45" s="333">
        <f>SQRT((I47/100+I48)*127*I46)</f>
        <v>74.659426732328981</v>
      </c>
      <c r="L45" s="1050" t="s">
        <v>391</v>
      </c>
      <c r="M45" s="1060">
        <v>80</v>
      </c>
      <c r="N45" s="1052">
        <f>SQRT(M47*127/100/M55/M46^(M54-1))</f>
        <v>159.05886554958326</v>
      </c>
    </row>
    <row r="46" spans="3:18">
      <c r="C46" s="328">
        <v>40</v>
      </c>
      <c r="D46" s="334">
        <v>0.21</v>
      </c>
      <c r="E46" s="330">
        <v>0.21</v>
      </c>
      <c r="F46" s="331">
        <f t="shared" ref="F46:F58" si="1">-4.34027778*10^-13*C46^6+3.125*10^-10*C46^5-9.02777778*10^-8*C46^4+1.32291667*10^-5*C46^3-1.01381944*10^-3*C46^2+3.61583333*10^-2*C46-2.6*10^-1</f>
        <v>0.21000000785331219</v>
      </c>
      <c r="G46" s="331">
        <f t="shared" si="0"/>
        <v>0.21000000004800001</v>
      </c>
      <c r="H46" s="328" t="s">
        <v>389</v>
      </c>
      <c r="I46" s="1055">
        <v>231</v>
      </c>
      <c r="J46" s="1056">
        <f>I45*I45/127/(I47/100+I48)</f>
        <v>265.23000414421881</v>
      </c>
      <c r="K46" s="335"/>
      <c r="L46" s="328" t="s">
        <v>19</v>
      </c>
      <c r="M46" s="1055">
        <v>2500</v>
      </c>
      <c r="N46" s="1061">
        <f>(M47/100*127/M55/M45^2)^(1/(M54-1))</f>
        <v>199.77884367409089</v>
      </c>
    </row>
    <row r="47" spans="3:18">
      <c r="C47" s="328">
        <v>50</v>
      </c>
      <c r="D47" s="334">
        <v>0.19</v>
      </c>
      <c r="E47" s="330">
        <v>0.20499999999999999</v>
      </c>
      <c r="F47" s="331">
        <f t="shared" si="1"/>
        <v>0.19365235721875029</v>
      </c>
      <c r="G47" s="331">
        <f t="shared" si="0"/>
        <v>0.20644480500000001</v>
      </c>
      <c r="H47" s="328" t="s">
        <v>390</v>
      </c>
      <c r="I47" s="1057">
        <v>6</v>
      </c>
      <c r="J47" s="1058">
        <f>(I45*I45/127/I46-I48)*100</f>
        <v>8.815454886321028</v>
      </c>
      <c r="K47" s="335"/>
      <c r="L47" s="328" t="s">
        <v>20</v>
      </c>
      <c r="M47" s="1049">
        <v>7</v>
      </c>
      <c r="N47" s="1062">
        <f>M55*M45^2*M46^(M54-1)/127*100</f>
        <v>1.7707703959313845</v>
      </c>
    </row>
    <row r="48" spans="3:18" ht="13.5" thickBot="1">
      <c r="C48" s="328">
        <v>60</v>
      </c>
      <c r="D48" s="334">
        <v>0.17</v>
      </c>
      <c r="E48" s="330">
        <v>0.2</v>
      </c>
      <c r="F48" s="331">
        <f t="shared" si="1"/>
        <v>0.17000002090163258</v>
      </c>
      <c r="G48" s="331">
        <f t="shared" si="0"/>
        <v>0.19999999951200001</v>
      </c>
      <c r="H48" s="336" t="s">
        <v>17</v>
      </c>
      <c r="I48" s="1059">
        <f>VLOOKUP(I45,C45:E58,J43)</f>
        <v>0.13</v>
      </c>
      <c r="J48" s="337"/>
      <c r="K48" s="335"/>
      <c r="L48" s="328" t="s">
        <v>17</v>
      </c>
      <c r="M48" s="1063">
        <f>VLOOKUP(M45,C45:E58,N43)</f>
        <v>0.13</v>
      </c>
      <c r="N48" s="338"/>
    </row>
    <row r="49" spans="3:16">
      <c r="C49" s="328">
        <v>70</v>
      </c>
      <c r="D49" s="334">
        <v>0.14699999999999999</v>
      </c>
      <c r="E49" s="330">
        <v>0.18</v>
      </c>
      <c r="F49" s="331">
        <f t="shared" si="1"/>
        <v>0.14755862406807885</v>
      </c>
      <c r="G49" s="331">
        <f t="shared" si="0"/>
        <v>0.18605519397600007</v>
      </c>
      <c r="K49" s="335"/>
      <c r="L49" s="328" t="s">
        <v>389</v>
      </c>
      <c r="M49" s="1064">
        <f>J46</f>
        <v>265.23000414421881</v>
      </c>
      <c r="N49" s="338"/>
    </row>
    <row r="50" spans="3:16">
      <c r="C50" s="328">
        <v>80</v>
      </c>
      <c r="D50" s="334">
        <v>0.13</v>
      </c>
      <c r="E50" s="330">
        <v>0.16</v>
      </c>
      <c r="F50" s="331">
        <f t="shared" si="1"/>
        <v>0.13000004187596859</v>
      </c>
      <c r="G50" s="331">
        <f t="shared" si="0"/>
        <v>0.15999999878400006</v>
      </c>
      <c r="K50" s="335"/>
      <c r="L50" s="328" t="s">
        <v>392</v>
      </c>
      <c r="M50" s="1064">
        <f>M51*M49</f>
        <v>1326.1500207210941</v>
      </c>
      <c r="N50" s="338"/>
    </row>
    <row r="51" spans="3:16">
      <c r="C51" s="328">
        <v>90</v>
      </c>
      <c r="D51" s="334">
        <v>0.11799999999999999</v>
      </c>
      <c r="E51" s="306"/>
      <c r="F51" s="331">
        <f t="shared" si="1"/>
        <v>0.11787114947390331</v>
      </c>
      <c r="K51" s="335"/>
      <c r="L51" s="328" t="s">
        <v>394</v>
      </c>
      <c r="M51" s="1049">
        <v>5</v>
      </c>
      <c r="N51" s="338"/>
    </row>
    <row r="52" spans="3:16" ht="13.5" thickBot="1">
      <c r="C52" s="328">
        <v>100</v>
      </c>
      <c r="D52" s="334">
        <v>0.11</v>
      </c>
      <c r="E52" s="306"/>
      <c r="F52" s="331">
        <f t="shared" si="1"/>
        <v>0.11000007200000206</v>
      </c>
      <c r="K52" s="335"/>
      <c r="L52" s="328" t="s">
        <v>393</v>
      </c>
      <c r="M52" s="1049">
        <v>2.5</v>
      </c>
      <c r="N52" s="338"/>
    </row>
    <row r="53" spans="3:16" ht="13.5" thickBot="1">
      <c r="C53" s="328">
        <v>110</v>
      </c>
      <c r="D53" s="334">
        <v>0.105</v>
      </c>
      <c r="E53" s="306"/>
      <c r="F53" s="331">
        <f t="shared" si="1"/>
        <v>0.10458993458054411</v>
      </c>
      <c r="H53" s="1195" t="s">
        <v>876</v>
      </c>
      <c r="I53" s="1196"/>
      <c r="J53" s="1197"/>
      <c r="K53" s="335"/>
      <c r="L53" s="328" t="s">
        <v>390</v>
      </c>
      <c r="M53" s="1063">
        <f>I47</f>
        <v>6</v>
      </c>
      <c r="N53" s="338"/>
    </row>
    <row r="54" spans="3:16">
      <c r="C54" s="328">
        <v>120</v>
      </c>
      <c r="D54" s="334">
        <v>0.1</v>
      </c>
      <c r="E54" s="306"/>
      <c r="F54" s="331">
        <f t="shared" si="1"/>
        <v>0.10000011232844908</v>
      </c>
      <c r="H54" s="1050" t="s">
        <v>19</v>
      </c>
      <c r="I54" s="1051">
        <v>80</v>
      </c>
      <c r="J54" s="1052">
        <f>(2.5*I54)^0.5*3.6</f>
        <v>50.911688245431428</v>
      </c>
      <c r="K54" s="335"/>
      <c r="L54" s="328" t="s">
        <v>395</v>
      </c>
      <c r="M54" s="329">
        <f>LOG(M52/M53)/LOG(M50/M49)+1</f>
        <v>0.45604068936722864</v>
      </c>
      <c r="N54" s="338"/>
    </row>
    <row r="55" spans="3:16" ht="13.5" thickBot="1">
      <c r="C55" s="339">
        <v>130</v>
      </c>
      <c r="D55" s="340">
        <v>9.5000000000000001E-2</v>
      </c>
      <c r="E55" s="341"/>
      <c r="F55" s="331">
        <f t="shared" si="1"/>
        <v>9.5214980341600031E-2</v>
      </c>
      <c r="H55" s="336" t="s">
        <v>18</v>
      </c>
      <c r="I55" s="342">
        <v>50</v>
      </c>
      <c r="J55" s="343">
        <f>I55^2/32.4</f>
        <v>77.160493827160494</v>
      </c>
      <c r="K55" s="335"/>
      <c r="L55" s="336" t="s">
        <v>396</v>
      </c>
      <c r="M55" s="1065">
        <f>M53*127/M45^2/100/M49^(M54-1)</f>
        <v>2.4781472277012242E-2</v>
      </c>
      <c r="N55" s="337"/>
    </row>
    <row r="56" spans="3:16">
      <c r="C56" s="328">
        <v>140</v>
      </c>
      <c r="D56" s="334">
        <v>0.09</v>
      </c>
      <c r="E56" s="306"/>
      <c r="F56" s="331">
        <f t="shared" si="1"/>
        <v>9.0000163700995506E-2</v>
      </c>
      <c r="K56" s="335"/>
    </row>
    <row r="57" spans="3:16">
      <c r="C57" s="328">
        <v>150</v>
      </c>
      <c r="D57" s="334">
        <v>8.5000000000000006E-2</v>
      </c>
      <c r="E57" s="306"/>
      <c r="F57" s="331">
        <f t="shared" si="1"/>
        <v>8.4746287468757897E-2</v>
      </c>
      <c r="H57" s="315"/>
      <c r="J57" s="344"/>
      <c r="K57" s="335"/>
    </row>
    <row r="58" spans="3:16" ht="13.5" thickBot="1">
      <c r="C58" s="336">
        <v>160</v>
      </c>
      <c r="D58" s="345">
        <v>0.08</v>
      </c>
      <c r="E58" s="310"/>
      <c r="F58" s="331">
        <f t="shared" si="1"/>
        <v>8.0000226685952525E-2</v>
      </c>
      <c r="K58" s="335"/>
    </row>
    <row r="59" spans="3:16" ht="13.5" thickBot="1"/>
    <row r="60" spans="3:16" ht="13.5" thickBot="1">
      <c r="C60" s="1043" t="s">
        <v>965</v>
      </c>
      <c r="D60" s="1032" t="s">
        <v>63</v>
      </c>
      <c r="E60" s="1032" t="s">
        <v>137</v>
      </c>
      <c r="F60" s="1032" t="s">
        <v>9</v>
      </c>
      <c r="G60" s="1032" t="s">
        <v>546</v>
      </c>
      <c r="H60" s="1032" t="s">
        <v>188</v>
      </c>
      <c r="I60" s="1033" t="s">
        <v>552</v>
      </c>
      <c r="J60" s="1033" t="s">
        <v>436</v>
      </c>
      <c r="K60" s="1033" t="s">
        <v>553</v>
      </c>
      <c r="L60" s="1033" t="s">
        <v>562</v>
      </c>
      <c r="M60" s="1033" t="s">
        <v>554</v>
      </c>
      <c r="N60" s="1034" t="s">
        <v>555</v>
      </c>
      <c r="O60" s="181"/>
      <c r="P60" s="181"/>
    </row>
    <row r="61" spans="3:16">
      <c r="C61" s="1041" t="s">
        <v>834</v>
      </c>
      <c r="D61" s="1035">
        <v>90</v>
      </c>
      <c r="E61" s="1035">
        <v>140</v>
      </c>
      <c r="F61" s="1036">
        <v>3.75</v>
      </c>
      <c r="G61" s="1036">
        <v>3</v>
      </c>
      <c r="H61" s="1037">
        <v>25</v>
      </c>
      <c r="I61" s="1038">
        <v>339</v>
      </c>
      <c r="J61" s="1038">
        <v>964</v>
      </c>
      <c r="K61" s="1038">
        <v>4820</v>
      </c>
      <c r="L61" s="1038">
        <v>10250</v>
      </c>
      <c r="M61" s="1039">
        <v>7</v>
      </c>
      <c r="N61" s="1040">
        <v>5</v>
      </c>
      <c r="O61" s="181"/>
      <c r="P61" s="181"/>
    </row>
    <row r="62" spans="3:16">
      <c r="C62" s="1042" t="s">
        <v>837</v>
      </c>
      <c r="D62" s="347">
        <v>80</v>
      </c>
      <c r="E62" s="347">
        <v>140</v>
      </c>
      <c r="F62" s="348">
        <v>3.75</v>
      </c>
      <c r="G62" s="348">
        <v>3</v>
      </c>
      <c r="H62" s="349">
        <v>24.2</v>
      </c>
      <c r="I62" s="354">
        <v>252</v>
      </c>
      <c r="J62" s="354">
        <v>964</v>
      </c>
      <c r="K62" s="354">
        <v>4820</v>
      </c>
      <c r="L62" s="354">
        <v>10250</v>
      </c>
      <c r="M62" s="355">
        <v>7</v>
      </c>
      <c r="N62" s="357">
        <v>6</v>
      </c>
      <c r="O62" s="181"/>
      <c r="P62" s="181"/>
    </row>
    <row r="63" spans="3:16">
      <c r="C63" s="1042" t="s">
        <v>833</v>
      </c>
      <c r="D63" s="347">
        <v>40</v>
      </c>
      <c r="E63" s="347">
        <v>100</v>
      </c>
      <c r="F63" s="348">
        <v>3.75</v>
      </c>
      <c r="G63" s="348">
        <v>1.25</v>
      </c>
      <c r="H63" s="349">
        <v>13.6</v>
      </c>
      <c r="I63" s="350">
        <v>45</v>
      </c>
      <c r="J63" s="350">
        <v>437</v>
      </c>
      <c r="K63" s="350">
        <v>2187</v>
      </c>
      <c r="L63" s="350">
        <v>5250</v>
      </c>
      <c r="M63" s="351">
        <v>7</v>
      </c>
      <c r="N63" s="353">
        <v>5</v>
      </c>
      <c r="O63" s="181"/>
      <c r="P63" s="181"/>
    </row>
    <row r="64" spans="3:16">
      <c r="C64" s="1042" t="s">
        <v>838</v>
      </c>
      <c r="D64" s="347">
        <v>40</v>
      </c>
      <c r="E64" s="347">
        <v>60</v>
      </c>
      <c r="F64" s="348">
        <v>3.75</v>
      </c>
      <c r="G64" s="348">
        <v>1.25</v>
      </c>
      <c r="H64" s="349">
        <v>15.8</v>
      </c>
      <c r="I64" s="354">
        <v>51</v>
      </c>
      <c r="J64" s="354">
        <v>121</v>
      </c>
      <c r="K64" s="354">
        <v>204</v>
      </c>
      <c r="L64" s="354">
        <v>1150</v>
      </c>
      <c r="M64" s="355">
        <v>3.5</v>
      </c>
      <c r="N64" s="357">
        <v>6</v>
      </c>
      <c r="O64" s="181"/>
      <c r="P64" s="181"/>
    </row>
    <row r="65" spans="3:16">
      <c r="C65" s="1042" t="s">
        <v>839</v>
      </c>
      <c r="D65" s="347">
        <v>70</v>
      </c>
      <c r="E65" s="347">
        <v>120</v>
      </c>
      <c r="F65" s="348">
        <v>3.75</v>
      </c>
      <c r="G65" s="348">
        <v>3</v>
      </c>
      <c r="H65" s="349">
        <v>24.5</v>
      </c>
      <c r="I65" s="354">
        <v>178</v>
      </c>
      <c r="J65" s="354">
        <v>667</v>
      </c>
      <c r="K65" s="354">
        <v>3334</v>
      </c>
      <c r="L65" s="354">
        <v>7500</v>
      </c>
      <c r="M65" s="355">
        <v>7</v>
      </c>
      <c r="N65" s="357">
        <v>5</v>
      </c>
      <c r="O65" s="181"/>
      <c r="P65" s="181"/>
    </row>
    <row r="66" spans="3:16">
      <c r="C66" s="1042" t="s">
        <v>841</v>
      </c>
      <c r="D66" s="347">
        <v>70</v>
      </c>
      <c r="E66" s="347">
        <v>120</v>
      </c>
      <c r="F66" s="348">
        <v>3.75</v>
      </c>
      <c r="G66" s="348">
        <v>3</v>
      </c>
      <c r="H66" s="349">
        <v>23.8</v>
      </c>
      <c r="I66" s="354">
        <v>178</v>
      </c>
      <c r="J66" s="354">
        <v>667</v>
      </c>
      <c r="K66" s="354">
        <v>3334</v>
      </c>
      <c r="L66" s="354">
        <v>7500</v>
      </c>
      <c r="M66" s="355">
        <v>7</v>
      </c>
      <c r="N66" s="357">
        <v>6</v>
      </c>
      <c r="O66" s="181"/>
      <c r="P66" s="181"/>
    </row>
    <row r="67" spans="3:16">
      <c r="C67" s="1042" t="s">
        <v>840</v>
      </c>
      <c r="D67" s="347">
        <v>40</v>
      </c>
      <c r="E67" s="347">
        <v>100</v>
      </c>
      <c r="F67" s="348">
        <v>3.75</v>
      </c>
      <c r="G67" s="348">
        <v>1.25</v>
      </c>
      <c r="H67" s="349">
        <v>13.5</v>
      </c>
      <c r="I67" s="354">
        <v>45</v>
      </c>
      <c r="J67" s="354">
        <v>437</v>
      </c>
      <c r="K67" s="354">
        <v>2187</v>
      </c>
      <c r="L67" s="354">
        <v>5250</v>
      </c>
      <c r="M67" s="355">
        <v>7</v>
      </c>
      <c r="N67" s="357">
        <v>5</v>
      </c>
      <c r="O67" s="181"/>
      <c r="P67" s="181"/>
    </row>
    <row r="68" spans="3:16">
      <c r="C68" s="1042" t="s">
        <v>842</v>
      </c>
      <c r="D68" s="347">
        <v>40</v>
      </c>
      <c r="E68" s="347">
        <v>60</v>
      </c>
      <c r="F68" s="348">
        <v>3.75</v>
      </c>
      <c r="G68" s="348">
        <v>1.25</v>
      </c>
      <c r="H68" s="349">
        <v>12.8</v>
      </c>
      <c r="I68" s="354">
        <v>51</v>
      </c>
      <c r="J68" s="354">
        <v>121</v>
      </c>
      <c r="K68" s="354">
        <v>204</v>
      </c>
      <c r="L68" s="354">
        <v>1150</v>
      </c>
      <c r="M68" s="355">
        <v>3.5</v>
      </c>
      <c r="N68" s="357">
        <v>6</v>
      </c>
      <c r="O68" s="181"/>
      <c r="P68" s="181"/>
    </row>
    <row r="69" spans="3:16">
      <c r="C69" s="1004" t="s">
        <v>959</v>
      </c>
      <c r="D69" s="359">
        <v>70</v>
      </c>
      <c r="E69" s="359">
        <v>120</v>
      </c>
      <c r="F69" s="360">
        <v>3.75</v>
      </c>
      <c r="G69" s="360">
        <v>1.75</v>
      </c>
      <c r="H69" s="361">
        <v>22</v>
      </c>
      <c r="I69" s="362">
        <v>178</v>
      </c>
      <c r="J69" s="362">
        <v>667</v>
      </c>
      <c r="K69" s="362">
        <v>3334</v>
      </c>
      <c r="L69" s="362">
        <v>7500</v>
      </c>
      <c r="M69" s="363">
        <v>7</v>
      </c>
      <c r="N69" s="365">
        <v>6</v>
      </c>
      <c r="O69" s="181"/>
      <c r="P69" s="181"/>
    </row>
    <row r="70" spans="3:16">
      <c r="C70" s="1004" t="s">
        <v>960</v>
      </c>
      <c r="D70" s="359">
        <v>40</v>
      </c>
      <c r="E70" s="359">
        <v>100</v>
      </c>
      <c r="F70" s="360">
        <v>3.75</v>
      </c>
      <c r="G70" s="360">
        <v>1.25</v>
      </c>
      <c r="H70" s="361">
        <v>13</v>
      </c>
      <c r="I70" s="362">
        <v>45</v>
      </c>
      <c r="J70" s="362">
        <v>437</v>
      </c>
      <c r="K70" s="362">
        <v>2187</v>
      </c>
      <c r="L70" s="362">
        <v>5250</v>
      </c>
      <c r="M70" s="363">
        <v>7</v>
      </c>
      <c r="N70" s="365">
        <v>6</v>
      </c>
      <c r="O70" s="181"/>
      <c r="P70" s="181"/>
    </row>
    <row r="71" spans="3:16">
      <c r="C71" s="1005" t="s">
        <v>961</v>
      </c>
      <c r="D71" s="367">
        <v>50</v>
      </c>
      <c r="E71" s="367">
        <v>80</v>
      </c>
      <c r="F71" s="368">
        <v>3.25</v>
      </c>
      <c r="G71" s="368">
        <v>1</v>
      </c>
      <c r="H71" s="369">
        <v>20.8</v>
      </c>
      <c r="I71" s="370">
        <v>77</v>
      </c>
      <c r="J71" s="370">
        <v>240</v>
      </c>
      <c r="K71" s="370">
        <v>708</v>
      </c>
      <c r="L71" s="370">
        <v>2000</v>
      </c>
      <c r="M71" s="371">
        <v>5</v>
      </c>
      <c r="N71" s="373">
        <v>6</v>
      </c>
      <c r="O71" s="181"/>
      <c r="P71" s="181"/>
    </row>
    <row r="72" spans="3:16">
      <c r="C72" s="1005" t="s">
        <v>962</v>
      </c>
      <c r="D72" s="367">
        <v>25</v>
      </c>
      <c r="E72" s="367">
        <v>60</v>
      </c>
      <c r="F72" s="368">
        <v>3.75</v>
      </c>
      <c r="G72" s="368">
        <v>1.25</v>
      </c>
      <c r="H72" s="369">
        <v>15.8</v>
      </c>
      <c r="I72" s="370">
        <v>19</v>
      </c>
      <c r="J72" s="370">
        <v>121</v>
      </c>
      <c r="K72" s="370">
        <v>204</v>
      </c>
      <c r="L72" s="370">
        <v>1150</v>
      </c>
      <c r="M72" s="371">
        <v>3.5</v>
      </c>
      <c r="N72" s="373">
        <v>6</v>
      </c>
      <c r="O72" s="181"/>
      <c r="P72" s="181"/>
    </row>
    <row r="73" spans="3:16">
      <c r="C73" s="1006" t="s">
        <v>963</v>
      </c>
      <c r="D73" s="375">
        <v>60</v>
      </c>
      <c r="E73" s="375">
        <v>100</v>
      </c>
      <c r="F73" s="376">
        <v>3.75</v>
      </c>
      <c r="G73" s="376">
        <v>1.5</v>
      </c>
      <c r="H73" s="377">
        <v>10.5</v>
      </c>
      <c r="I73" s="378">
        <v>118</v>
      </c>
      <c r="J73" s="378">
        <v>437</v>
      </c>
      <c r="K73" s="378">
        <v>2187</v>
      </c>
      <c r="L73" s="378">
        <v>5250</v>
      </c>
      <c r="M73" s="379">
        <v>7</v>
      </c>
      <c r="N73" s="381">
        <v>7</v>
      </c>
      <c r="O73" s="181"/>
      <c r="P73" s="181"/>
    </row>
    <row r="74" spans="3:16">
      <c r="C74" s="1006" t="s">
        <v>964</v>
      </c>
      <c r="D74" s="375">
        <v>60</v>
      </c>
      <c r="E74" s="375">
        <v>100</v>
      </c>
      <c r="F74" s="376">
        <v>3.5</v>
      </c>
      <c r="G74" s="376">
        <v>1.25</v>
      </c>
      <c r="H74" s="377">
        <v>9.5</v>
      </c>
      <c r="I74" s="378">
        <v>118</v>
      </c>
      <c r="J74" s="378">
        <v>437</v>
      </c>
      <c r="K74" s="378">
        <v>2187</v>
      </c>
      <c r="L74" s="378">
        <v>5250</v>
      </c>
      <c r="M74" s="379">
        <v>7</v>
      </c>
      <c r="N74" s="381">
        <v>7</v>
      </c>
      <c r="O74" s="181"/>
      <c r="P74" s="181"/>
    </row>
    <row r="75" spans="3:16">
      <c r="C75" s="382" t="s">
        <v>843</v>
      </c>
      <c r="D75" s="384">
        <v>40</v>
      </c>
      <c r="E75" s="384">
        <v>60</v>
      </c>
      <c r="F75" s="385">
        <v>3</v>
      </c>
      <c r="G75" s="385">
        <v>0.5</v>
      </c>
      <c r="H75" s="386">
        <v>10</v>
      </c>
      <c r="I75" s="387">
        <v>51</v>
      </c>
      <c r="J75" s="387">
        <v>121</v>
      </c>
      <c r="K75" s="387">
        <v>204</v>
      </c>
      <c r="L75" s="387">
        <v>1150</v>
      </c>
      <c r="M75" s="388">
        <v>3.5</v>
      </c>
      <c r="N75" s="390">
        <v>8</v>
      </c>
      <c r="O75" s="181"/>
      <c r="P75" s="181"/>
    </row>
    <row r="76" spans="3:16">
      <c r="C76" s="1002" t="s">
        <v>844</v>
      </c>
      <c r="D76" s="1001">
        <v>40</v>
      </c>
      <c r="E76" s="1001">
        <v>100</v>
      </c>
      <c r="F76" s="393">
        <v>3.5</v>
      </c>
      <c r="G76" s="393">
        <v>1</v>
      </c>
      <c r="H76" s="394">
        <v>9</v>
      </c>
      <c r="I76" s="395">
        <v>45</v>
      </c>
      <c r="J76" s="395">
        <v>437</v>
      </c>
      <c r="K76" s="395">
        <v>2187</v>
      </c>
      <c r="L76" s="395">
        <v>5250</v>
      </c>
      <c r="M76" s="396">
        <v>7</v>
      </c>
      <c r="N76" s="398">
        <v>10</v>
      </c>
      <c r="O76" s="181"/>
      <c r="P76" s="181"/>
    </row>
    <row r="77" spans="3:16">
      <c r="C77" s="1002" t="s">
        <v>845</v>
      </c>
      <c r="D77" s="1001">
        <v>40</v>
      </c>
      <c r="E77" s="1001">
        <v>100</v>
      </c>
      <c r="F77" s="393">
        <v>3.25</v>
      </c>
      <c r="G77" s="393">
        <v>1</v>
      </c>
      <c r="H77" s="394">
        <v>8.5</v>
      </c>
      <c r="I77" s="395">
        <v>45</v>
      </c>
      <c r="J77" s="395">
        <v>437</v>
      </c>
      <c r="K77" s="395">
        <v>2187</v>
      </c>
      <c r="L77" s="395">
        <v>5250</v>
      </c>
      <c r="M77" s="396">
        <v>7</v>
      </c>
      <c r="N77" s="398">
        <v>10</v>
      </c>
      <c r="O77" s="181"/>
      <c r="P77" s="181"/>
    </row>
    <row r="78" spans="3:16">
      <c r="C78" s="1002" t="s">
        <v>583</v>
      </c>
      <c r="D78" s="1001">
        <v>25</v>
      </c>
      <c r="E78" s="1001">
        <v>60</v>
      </c>
      <c r="F78" s="393">
        <v>2.75</v>
      </c>
      <c r="G78" s="393">
        <v>0.5</v>
      </c>
      <c r="H78" s="394">
        <v>9.5</v>
      </c>
      <c r="I78" s="395">
        <v>19</v>
      </c>
      <c r="J78" s="395">
        <v>121</v>
      </c>
      <c r="K78" s="395">
        <v>204</v>
      </c>
      <c r="L78" s="395">
        <v>1150</v>
      </c>
      <c r="M78" s="396">
        <v>3.5</v>
      </c>
      <c r="N78" s="398">
        <v>10</v>
      </c>
      <c r="O78" s="181"/>
      <c r="P78" s="181"/>
    </row>
    <row r="79" spans="3:16" ht="13.5" thickBot="1">
      <c r="C79" s="1003" t="s">
        <v>584</v>
      </c>
      <c r="D79" s="399">
        <v>25</v>
      </c>
      <c r="E79" s="399">
        <v>60</v>
      </c>
      <c r="F79" s="400">
        <v>2.75</v>
      </c>
      <c r="G79" s="400">
        <v>2</v>
      </c>
      <c r="H79" s="401">
        <v>12.5</v>
      </c>
      <c r="I79" s="402">
        <v>19</v>
      </c>
      <c r="J79" s="402">
        <v>121</v>
      </c>
      <c r="K79" s="402">
        <v>204</v>
      </c>
      <c r="L79" s="402">
        <v>1150</v>
      </c>
      <c r="M79" s="403">
        <v>3.5</v>
      </c>
      <c r="N79" s="404">
        <v>10</v>
      </c>
      <c r="O79" s="181"/>
      <c r="P79" s="181"/>
    </row>
    <row r="80" spans="3:16" ht="13.5" thickBot="1"/>
    <row r="81" spans="3:15" ht="13.5" thickBot="1">
      <c r="C81" s="1202" t="s">
        <v>29</v>
      </c>
      <c r="D81" s="1203"/>
      <c r="E81" s="1203"/>
      <c r="F81" s="1203"/>
      <c r="G81" s="1203"/>
      <c r="H81" s="1203"/>
      <c r="I81" s="1203"/>
      <c r="J81" s="1203"/>
      <c r="K81" s="1203"/>
      <c r="L81" s="1203"/>
      <c r="M81" s="1204"/>
      <c r="N81" s="405"/>
      <c r="O81" s="406" t="s">
        <v>167</v>
      </c>
    </row>
    <row r="82" spans="3:15" ht="13.5" thickBot="1">
      <c r="C82" s="1195" t="s">
        <v>846</v>
      </c>
      <c r="D82" s="1196"/>
      <c r="E82" s="1196"/>
      <c r="F82" s="1197"/>
      <c r="G82" s="1195" t="s">
        <v>847</v>
      </c>
      <c r="H82" s="1196"/>
      <c r="I82" s="1196"/>
      <c r="J82" s="1196"/>
      <c r="K82" s="1196"/>
      <c r="L82" s="1196"/>
      <c r="M82" s="1197"/>
      <c r="O82" s="406" t="s">
        <v>168</v>
      </c>
    </row>
    <row r="83" spans="3:15" ht="13.5" thickBot="1">
      <c r="C83" s="407" t="s">
        <v>822</v>
      </c>
      <c r="D83" s="408">
        <v>7.0000000000000007E-2</v>
      </c>
      <c r="E83" s="409">
        <v>0.05</v>
      </c>
      <c r="F83" s="410">
        <v>3.5000000000000003E-2</v>
      </c>
      <c r="G83" s="407" t="s">
        <v>821</v>
      </c>
      <c r="H83" s="411">
        <v>160</v>
      </c>
      <c r="I83" s="412">
        <v>140</v>
      </c>
      <c r="J83" s="412">
        <v>120</v>
      </c>
      <c r="K83" s="412">
        <v>100</v>
      </c>
      <c r="L83" s="412">
        <v>80</v>
      </c>
      <c r="M83" s="413">
        <v>60</v>
      </c>
      <c r="O83" s="406" t="s">
        <v>169</v>
      </c>
    </row>
    <row r="84" spans="3:15">
      <c r="C84" s="414" t="s">
        <v>815</v>
      </c>
      <c r="D84" s="415">
        <v>45</v>
      </c>
      <c r="E84" s="416">
        <v>77</v>
      </c>
      <c r="F84" s="417">
        <v>19</v>
      </c>
      <c r="G84" s="414" t="s">
        <v>831</v>
      </c>
      <c r="H84" s="418">
        <v>1344</v>
      </c>
      <c r="I84" s="416">
        <v>964</v>
      </c>
      <c r="J84" s="416">
        <v>667</v>
      </c>
      <c r="K84" s="416">
        <v>437</v>
      </c>
      <c r="L84" s="416">
        <v>240</v>
      </c>
      <c r="M84" s="417">
        <v>121</v>
      </c>
      <c r="O84" s="406" t="s">
        <v>170</v>
      </c>
    </row>
    <row r="85" spans="3:15">
      <c r="C85" s="419" t="s">
        <v>180</v>
      </c>
      <c r="D85" s="420">
        <v>339</v>
      </c>
      <c r="E85" s="421">
        <v>200</v>
      </c>
      <c r="F85" s="422">
        <v>120</v>
      </c>
      <c r="G85" s="419" t="s">
        <v>180</v>
      </c>
      <c r="H85" s="423">
        <v>1344</v>
      </c>
      <c r="I85" s="424">
        <v>1000</v>
      </c>
      <c r="J85" s="424">
        <v>1000</v>
      </c>
      <c r="K85" s="424">
        <v>1000</v>
      </c>
      <c r="L85" s="424">
        <v>700</v>
      </c>
      <c r="M85" s="425">
        <v>200</v>
      </c>
      <c r="O85" s="406" t="s">
        <v>171</v>
      </c>
    </row>
    <row r="86" spans="3:15">
      <c r="C86" s="426" t="s">
        <v>819</v>
      </c>
      <c r="D86" s="427">
        <v>1344</v>
      </c>
      <c r="E86" s="428">
        <v>240</v>
      </c>
      <c r="F86" s="429">
        <v>121</v>
      </c>
      <c r="G86" s="426" t="s">
        <v>832</v>
      </c>
      <c r="H86" s="430">
        <v>6719</v>
      </c>
      <c r="I86" s="428">
        <v>4820</v>
      </c>
      <c r="J86" s="428">
        <v>3334</v>
      </c>
      <c r="K86" s="428">
        <v>2187</v>
      </c>
      <c r="L86" s="428">
        <v>708</v>
      </c>
      <c r="M86" s="429">
        <v>204</v>
      </c>
      <c r="O86" s="406" t="s">
        <v>172</v>
      </c>
    </row>
    <row r="87" spans="3:15">
      <c r="C87" s="431" t="s">
        <v>818</v>
      </c>
      <c r="D87" s="427">
        <v>40</v>
      </c>
      <c r="E87" s="428">
        <v>50</v>
      </c>
      <c r="F87" s="429">
        <v>25</v>
      </c>
      <c r="G87" s="431" t="s">
        <v>816</v>
      </c>
      <c r="H87" s="432">
        <v>7.0000000000000007E-2</v>
      </c>
      <c r="I87" s="433">
        <v>7.0000000000000007E-2</v>
      </c>
      <c r="J87" s="433">
        <v>7.0000000000000007E-2</v>
      </c>
      <c r="K87" s="433">
        <v>7.0000000000000007E-2</v>
      </c>
      <c r="L87" s="433">
        <v>0.05</v>
      </c>
      <c r="M87" s="434">
        <v>3.5000000000000003E-2</v>
      </c>
      <c r="O87" s="406" t="s">
        <v>173</v>
      </c>
    </row>
    <row r="88" spans="3:15">
      <c r="C88" s="435" t="s">
        <v>72</v>
      </c>
      <c r="D88" s="436">
        <f>D90/(D85^D91)</f>
        <v>91.196889836416489</v>
      </c>
      <c r="E88" s="437">
        <f>E90/(E85^E91)</f>
        <v>74.191458109630005</v>
      </c>
      <c r="F88" s="438">
        <f>F90/(F85^F91)</f>
        <v>59.765000705609403</v>
      </c>
      <c r="G88" s="435" t="s">
        <v>283</v>
      </c>
      <c r="H88" s="439">
        <f t="shared" ref="H88:M88" si="2">H90/(H85^H91)</f>
        <v>7.0000000000000007E-2</v>
      </c>
      <c r="I88" s="440">
        <f t="shared" si="2"/>
        <v>6.8377230323406674E-2</v>
      </c>
      <c r="J88" s="440">
        <f t="shared" si="2"/>
        <v>5.4021121162558597E-2</v>
      </c>
      <c r="K88" s="440">
        <f t="shared" si="2"/>
        <v>4.1231662001087278E-2</v>
      </c>
      <c r="L88" s="440">
        <f t="shared" si="2"/>
        <v>2.5182692388426207E-2</v>
      </c>
      <c r="M88" s="441">
        <f t="shared" si="2"/>
        <v>2.5320952308568175E-2</v>
      </c>
    </row>
    <row r="89" spans="3:15">
      <c r="C89" s="431" t="s">
        <v>820</v>
      </c>
      <c r="D89" s="427">
        <v>160</v>
      </c>
      <c r="E89" s="428">
        <v>80</v>
      </c>
      <c r="F89" s="429">
        <v>60</v>
      </c>
      <c r="G89" s="431" t="s">
        <v>817</v>
      </c>
      <c r="H89" s="432">
        <v>2.5000000000000001E-2</v>
      </c>
      <c r="I89" s="433">
        <v>2.5000000000000001E-2</v>
      </c>
      <c r="J89" s="433">
        <v>2.5000000000000001E-2</v>
      </c>
      <c r="K89" s="433">
        <v>2.5000000000000001E-2</v>
      </c>
      <c r="L89" s="433">
        <v>2.5000000000000001E-2</v>
      </c>
      <c r="M89" s="434">
        <v>2.5000000000000001E-2</v>
      </c>
    </row>
    <row r="90" spans="3:15">
      <c r="C90" s="442" t="s">
        <v>282</v>
      </c>
      <c r="D90" s="443">
        <f>D87*(D84^D91)</f>
        <v>8.4594730257675845</v>
      </c>
      <c r="E90" s="444">
        <f>E87*(E84^E91)</f>
        <v>8.2991555473618579</v>
      </c>
      <c r="F90" s="445">
        <f>F87*(F84^F91)</f>
        <v>6.2121494421470365</v>
      </c>
      <c r="G90" s="442" t="s">
        <v>282</v>
      </c>
      <c r="H90" s="446">
        <f t="shared" ref="H90:M90" si="3">H87*(H84^H91)</f>
        <v>7.0249075696257979</v>
      </c>
      <c r="I90" s="444">
        <f t="shared" si="3"/>
        <v>5.6771065453674936</v>
      </c>
      <c r="J90" s="444">
        <f t="shared" si="3"/>
        <v>4.4888678184719515</v>
      </c>
      <c r="K90" s="444">
        <f t="shared" si="3"/>
        <v>3.4147270026757206</v>
      </c>
      <c r="L90" s="444">
        <f t="shared" si="3"/>
        <v>1.675126048322336</v>
      </c>
      <c r="M90" s="445">
        <f t="shared" si="3"/>
        <v>0.76868597835601449</v>
      </c>
    </row>
    <row r="91" spans="3:15" ht="13.5" thickBot="1">
      <c r="C91" s="447" t="s">
        <v>209</v>
      </c>
      <c r="D91" s="448">
        <f>(LOG(D87)-LOG(D89))/(LOG(D86)-LOG(D84))</f>
        <v>-0.40812459121587258</v>
      </c>
      <c r="E91" s="449">
        <f>(LOG(E87)-LOG(E89))/(LOG(E86)-LOG(E84))</f>
        <v>-0.41343224722918648</v>
      </c>
      <c r="F91" s="450">
        <f>(LOG(F87)-LOG(F89))/(LOG(F86)-LOG(F84))</f>
        <v>-0.47288086888971709</v>
      </c>
      <c r="G91" s="447" t="s">
        <v>209</v>
      </c>
      <c r="H91" s="451">
        <f t="shared" ref="H91:M91" si="4">(LOG(H87)-LOG(H89))/(LOG(H86)-LOG(H84))</f>
        <v>0.63979767364595441</v>
      </c>
      <c r="I91" s="449">
        <f t="shared" si="4"/>
        <v>0.63973851319556063</v>
      </c>
      <c r="J91" s="449">
        <f t="shared" si="4"/>
        <v>0.63985774125697059</v>
      </c>
      <c r="K91" s="449">
        <f t="shared" si="4"/>
        <v>0.63937504925951127</v>
      </c>
      <c r="L91" s="449">
        <f t="shared" si="4"/>
        <v>0.64073199089497912</v>
      </c>
      <c r="M91" s="450">
        <f t="shared" si="4"/>
        <v>0.64417627179579451</v>
      </c>
    </row>
    <row r="92" spans="3:15">
      <c r="C92" s="452" t="s">
        <v>823</v>
      </c>
      <c r="D92" s="453">
        <v>40</v>
      </c>
      <c r="E92" s="454">
        <v>50</v>
      </c>
      <c r="F92" s="455">
        <v>25</v>
      </c>
      <c r="G92" s="452" t="s">
        <v>827</v>
      </c>
      <c r="H92" s="456">
        <v>7.0000000000000007E-2</v>
      </c>
      <c r="I92" s="457">
        <v>7.0000000000000007E-2</v>
      </c>
      <c r="J92" s="457">
        <v>7.0000000000000007E-2</v>
      </c>
      <c r="K92" s="457">
        <v>7.0000000000000007E-2</v>
      </c>
      <c r="L92" s="457">
        <v>0.05</v>
      </c>
      <c r="M92" s="458">
        <v>3.5000000000000003E-2</v>
      </c>
    </row>
    <row r="93" spans="3:15">
      <c r="C93" s="419" t="s">
        <v>72</v>
      </c>
      <c r="D93" s="420">
        <v>80</v>
      </c>
      <c r="E93" s="421">
        <v>80</v>
      </c>
      <c r="F93" s="422">
        <v>50</v>
      </c>
      <c r="G93" s="419" t="s">
        <v>283</v>
      </c>
      <c r="H93" s="459">
        <v>0.05</v>
      </c>
      <c r="I93" s="460">
        <v>0.05</v>
      </c>
      <c r="J93" s="460">
        <v>0.05</v>
      </c>
      <c r="K93" s="460">
        <v>0.05</v>
      </c>
      <c r="L93" s="460">
        <v>2.5000000000000001E-2</v>
      </c>
      <c r="M93" s="461">
        <v>2.5000000000000001E-2</v>
      </c>
    </row>
    <row r="94" spans="3:15">
      <c r="C94" s="426" t="s">
        <v>824</v>
      </c>
      <c r="D94" s="427">
        <v>160</v>
      </c>
      <c r="E94" s="428">
        <v>80</v>
      </c>
      <c r="F94" s="429">
        <v>60</v>
      </c>
      <c r="G94" s="426" t="s">
        <v>828</v>
      </c>
      <c r="H94" s="432">
        <v>2.5000000000000001E-2</v>
      </c>
      <c r="I94" s="433">
        <v>2.5000000000000001E-2</v>
      </c>
      <c r="J94" s="433">
        <v>2.5000000000000001E-2</v>
      </c>
      <c r="K94" s="433">
        <v>2.5000000000000001E-2</v>
      </c>
      <c r="L94" s="433">
        <v>2.5000000000000001E-2</v>
      </c>
      <c r="M94" s="434">
        <v>2.5000000000000001E-2</v>
      </c>
    </row>
    <row r="95" spans="3:15">
      <c r="C95" s="431" t="s">
        <v>825</v>
      </c>
      <c r="D95" s="427">
        <v>45</v>
      </c>
      <c r="E95" s="428">
        <v>77</v>
      </c>
      <c r="F95" s="429">
        <v>19</v>
      </c>
      <c r="G95" s="431" t="s">
        <v>829</v>
      </c>
      <c r="H95" s="462">
        <v>1344</v>
      </c>
      <c r="I95" s="428">
        <v>964</v>
      </c>
      <c r="J95" s="428">
        <v>667</v>
      </c>
      <c r="K95" s="428">
        <v>437</v>
      </c>
      <c r="L95" s="428">
        <v>240</v>
      </c>
      <c r="M95" s="429">
        <v>121</v>
      </c>
    </row>
    <row r="96" spans="3:15">
      <c r="C96" s="435" t="s">
        <v>180</v>
      </c>
      <c r="D96" s="436">
        <f>D98/(D93^D99)</f>
        <v>245.92681838303017</v>
      </c>
      <c r="E96" s="437">
        <f>E98/(E93^E99)</f>
        <v>239.99999999999966</v>
      </c>
      <c r="F96" s="438">
        <f>F98/(F93^F99)</f>
        <v>82.288848627190561</v>
      </c>
      <c r="G96" s="435" t="s">
        <v>180</v>
      </c>
      <c r="H96" s="463">
        <f t="shared" ref="H96:M96" si="5">H98/(H93^H99)</f>
        <v>2274.0317751798607</v>
      </c>
      <c r="I96" s="437">
        <f t="shared" si="5"/>
        <v>1631.1556894409348</v>
      </c>
      <c r="J96" s="437">
        <f t="shared" si="5"/>
        <v>1128.5002324692739</v>
      </c>
      <c r="K96" s="437">
        <f t="shared" si="5"/>
        <v>739.65579939284521</v>
      </c>
      <c r="L96" s="437">
        <f t="shared" si="5"/>
        <v>708.00000000000057</v>
      </c>
      <c r="M96" s="438">
        <f t="shared" si="5"/>
        <v>204.00000000000009</v>
      </c>
    </row>
    <row r="97" spans="3:13">
      <c r="C97" s="431" t="s">
        <v>826</v>
      </c>
      <c r="D97" s="427">
        <v>1344</v>
      </c>
      <c r="E97" s="428">
        <v>240</v>
      </c>
      <c r="F97" s="429">
        <v>121</v>
      </c>
      <c r="G97" s="431" t="s">
        <v>830</v>
      </c>
      <c r="H97" s="462">
        <v>6719</v>
      </c>
      <c r="I97" s="428">
        <v>4820</v>
      </c>
      <c r="J97" s="428">
        <v>3334</v>
      </c>
      <c r="K97" s="428">
        <v>2187</v>
      </c>
      <c r="L97" s="428">
        <v>708</v>
      </c>
      <c r="M97" s="429">
        <v>204</v>
      </c>
    </row>
    <row r="98" spans="3:13">
      <c r="C98" s="442" t="s">
        <v>282</v>
      </c>
      <c r="D98" s="443">
        <f>D95*(D92^D99)</f>
        <v>5.3431036073775095E-3</v>
      </c>
      <c r="E98" s="444">
        <f>E95*(E92^E99)</f>
        <v>5.9849819168361906E-3</v>
      </c>
      <c r="F98" s="445">
        <f>F95*(F92^F99)</f>
        <v>2.1015190615236479E-2</v>
      </c>
      <c r="G98" s="442" t="s">
        <v>282</v>
      </c>
      <c r="H98" s="446">
        <f t="shared" ref="H98:M98" si="6">H95*(H92^H99)</f>
        <v>21.052045476680156</v>
      </c>
      <c r="I98" s="444">
        <f t="shared" si="6"/>
        <v>15.094027462776904</v>
      </c>
      <c r="J98" s="444">
        <f t="shared" si="6"/>
        <v>10.451781491979466</v>
      </c>
      <c r="K98" s="444">
        <f t="shared" si="6"/>
        <v>6.8262674619948944</v>
      </c>
      <c r="L98" s="444">
        <f t="shared" si="6"/>
        <v>2.2370426866096347</v>
      </c>
      <c r="M98" s="445">
        <f t="shared" si="6"/>
        <v>0.66472206842079506</v>
      </c>
    </row>
    <row r="99" spans="3:13" ht="13.5" thickBot="1">
      <c r="C99" s="447" t="s">
        <v>209</v>
      </c>
      <c r="D99" s="448">
        <f>(LOG(D95)-LOG(D97))/(LOG(D94)-LOG(D92))</f>
        <v>-2.4502321632245434</v>
      </c>
      <c r="E99" s="449">
        <f>(LOG(E95)-LOG(E97))/(LOG(E94)-LOG(E92))</f>
        <v>-2.418776006714467</v>
      </c>
      <c r="F99" s="450">
        <f>(LOG(F95)-LOG(F97))/(LOG(F94)-LOG(F92))</f>
        <v>-2.1146975185270498</v>
      </c>
      <c r="G99" s="447" t="s">
        <v>209</v>
      </c>
      <c r="H99" s="451">
        <f t="shared" ref="H99:M99" si="7">(LOG(H95)-LOG(H97))/(LOG(H94)-LOG(H92))</f>
        <v>1.5629941170329593</v>
      </c>
      <c r="I99" s="449">
        <f t="shared" si="7"/>
        <v>1.5631386564565195</v>
      </c>
      <c r="J99" s="449">
        <f t="shared" si="7"/>
        <v>1.5628473886016396</v>
      </c>
      <c r="K99" s="449">
        <f t="shared" si="7"/>
        <v>1.564027249981282</v>
      </c>
      <c r="L99" s="449">
        <f t="shared" si="7"/>
        <v>1.5607149544744796</v>
      </c>
      <c r="M99" s="450">
        <f t="shared" si="7"/>
        <v>1.5523701256680291</v>
      </c>
    </row>
    <row r="100" spans="3:13" ht="13.5" thickBot="1"/>
    <row r="101" spans="3:13" ht="13.5" thickBot="1">
      <c r="C101" s="1193" t="s">
        <v>1114</v>
      </c>
      <c r="D101" s="1194"/>
    </row>
    <row r="102" spans="3:13" ht="13.5" thickBot="1"/>
    <row r="103" spans="3:13" ht="13.5" thickBot="1">
      <c r="C103" s="1200" t="s">
        <v>870</v>
      </c>
      <c r="D103" s="1201"/>
    </row>
    <row r="104" spans="3:13">
      <c r="C104" s="175" t="s">
        <v>871</v>
      </c>
      <c r="D104" s="464">
        <v>7.0000000000000007E-2</v>
      </c>
    </row>
    <row r="105" spans="3:13">
      <c r="C105" s="92" t="s">
        <v>283</v>
      </c>
      <c r="D105" s="465">
        <v>0.08</v>
      </c>
    </row>
    <row r="106" spans="3:13" ht="13.5" thickBot="1">
      <c r="C106" s="93" t="s">
        <v>872</v>
      </c>
      <c r="D106" s="466">
        <f>SQRT(D104^2+D105^2)</f>
        <v>0.1063014581273465</v>
      </c>
    </row>
    <row r="107" spans="3:13" ht="13.5" thickBot="1"/>
    <row r="108" spans="3:13" ht="13.5" thickBot="1">
      <c r="C108" s="1173" t="s">
        <v>956</v>
      </c>
      <c r="D108" s="1174"/>
      <c r="E108" s="1174"/>
      <c r="F108" s="1174"/>
      <c r="G108" s="1174"/>
      <c r="H108" s="1174"/>
      <c r="I108" s="1175"/>
    </row>
    <row r="109" spans="3:13" ht="13.5" thickBot="1"/>
    <row r="110" spans="3:13" ht="15.75" thickBot="1">
      <c r="C110" s="1193" t="s">
        <v>1115</v>
      </c>
      <c r="D110" s="1194"/>
      <c r="H110" s="1202" t="s">
        <v>558</v>
      </c>
      <c r="I110" s="1204"/>
    </row>
    <row r="111" spans="3:13" ht="13.5" thickBot="1">
      <c r="H111" s="467" t="s">
        <v>69</v>
      </c>
      <c r="I111" s="468" t="s">
        <v>180</v>
      </c>
    </row>
    <row r="112" spans="3:13" ht="13.5" thickBot="1">
      <c r="C112" s="1193" t="s">
        <v>1113</v>
      </c>
      <c r="D112" s="1194"/>
      <c r="F112" s="804" t="s">
        <v>877</v>
      </c>
      <c r="H112" s="307" t="s">
        <v>560</v>
      </c>
      <c r="I112" s="469">
        <v>2000</v>
      </c>
    </row>
    <row r="113" spans="3:16" ht="13.5" thickBot="1">
      <c r="H113" s="470" t="s">
        <v>561</v>
      </c>
      <c r="I113" s="471">
        <v>3500</v>
      </c>
    </row>
    <row r="114" spans="3:16" ht="13.5" thickBot="1">
      <c r="C114" s="1193" t="s">
        <v>944</v>
      </c>
      <c r="D114" s="1194"/>
      <c r="E114" s="1193" t="s">
        <v>945</v>
      </c>
      <c r="F114" s="1194"/>
      <c r="H114" s="309" t="s">
        <v>559</v>
      </c>
      <c r="I114" s="472">
        <v>5000</v>
      </c>
    </row>
    <row r="115" spans="3:16" ht="13.5" thickBot="1"/>
    <row r="116" spans="3:16" ht="13.5" thickBot="1">
      <c r="C116" s="1202" t="s">
        <v>31</v>
      </c>
      <c r="D116" s="1203"/>
      <c r="E116" s="1203"/>
      <c r="F116" s="1204"/>
      <c r="G116" s="1202" t="s">
        <v>31</v>
      </c>
      <c r="H116" s="1203"/>
      <c r="I116" s="1204"/>
      <c r="O116"/>
      <c r="P116"/>
    </row>
    <row r="117" spans="3:16">
      <c r="C117" s="1007" t="s">
        <v>18</v>
      </c>
      <c r="D117" s="1028">
        <v>70</v>
      </c>
      <c r="E117" s="1021" t="s">
        <v>966</v>
      </c>
      <c r="F117" s="473">
        <f>0.021*D117^2</f>
        <v>102.9</v>
      </c>
      <c r="G117" s="1027" t="s">
        <v>6</v>
      </c>
      <c r="H117" s="1018">
        <v>100</v>
      </c>
      <c r="I117" s="1019">
        <f>IFERROR(SQRT(H118*H119),"")</f>
        <v>99.498743710661998</v>
      </c>
      <c r="O117"/>
      <c r="P117"/>
    </row>
    <row r="118" spans="3:16">
      <c r="C118" s="300" t="s">
        <v>34</v>
      </c>
      <c r="D118" s="477"/>
      <c r="E118" s="1022" t="s">
        <v>967</v>
      </c>
      <c r="F118" s="475" t="str">
        <f>IFERROR(SQRT(D122*(D121/100-D120/100)/(ABS(1/D118-1/D119))/D123*100),"")</f>
        <v/>
      </c>
      <c r="G118" s="300" t="s">
        <v>51</v>
      </c>
      <c r="H118" s="474">
        <v>33</v>
      </c>
      <c r="I118" s="478">
        <f>IFERROR(H117^2/H119,"")</f>
        <v>33.333333333333336</v>
      </c>
      <c r="O118"/>
      <c r="P118"/>
    </row>
    <row r="119" spans="3:16" ht="13.5" thickBot="1">
      <c r="C119" s="300" t="s">
        <v>35</v>
      </c>
      <c r="D119" s="1029">
        <v>80</v>
      </c>
      <c r="E119" s="1022" t="s">
        <v>967</v>
      </c>
      <c r="F119" s="475">
        <f>SQRT(D119/D123*100*D122*ABS(D121/100-D120/100))</f>
        <v>65.996632910744438</v>
      </c>
      <c r="G119" s="298" t="s">
        <v>180</v>
      </c>
      <c r="H119" s="480">
        <v>300</v>
      </c>
      <c r="I119" s="299">
        <f>IFERROR(H117^2/H118,"")</f>
        <v>303.030303030303</v>
      </c>
      <c r="O119"/>
      <c r="P119"/>
    </row>
    <row r="120" spans="3:16">
      <c r="C120" s="300" t="s">
        <v>32</v>
      </c>
      <c r="D120" s="481">
        <v>7</v>
      </c>
      <c r="E120" s="1022" t="s">
        <v>968</v>
      </c>
      <c r="F120" s="475">
        <f>D119/3</f>
        <v>26.666666666666668</v>
      </c>
      <c r="G120" s="300" t="s">
        <v>181</v>
      </c>
      <c r="H120" s="484">
        <v>1</v>
      </c>
      <c r="I120" s="485">
        <f>IFERROR(H121^4/24/H122^3,"")</f>
        <v>1.011358024691358</v>
      </c>
      <c r="O120"/>
      <c r="P120"/>
    </row>
    <row r="121" spans="3:16">
      <c r="C121" s="300" t="s">
        <v>33</v>
      </c>
      <c r="D121" s="481">
        <v>-7</v>
      </c>
      <c r="E121" s="1022" t="s">
        <v>954</v>
      </c>
      <c r="F121" s="1047">
        <f>IF(MAX(F117,F119,F120)&lt;F122,MAX(F117,F119,F120),F122)</f>
        <v>80</v>
      </c>
      <c r="G121" s="300" t="s">
        <v>6</v>
      </c>
      <c r="H121" s="474">
        <v>160</v>
      </c>
      <c r="I121" s="475">
        <f>IFERROR((H120*24*H122^3)^0.25,"")</f>
        <v>159.54887690834963</v>
      </c>
      <c r="O121"/>
      <c r="P121"/>
    </row>
    <row r="122" spans="3:16" ht="13.5" thickBot="1">
      <c r="C122" s="298" t="s">
        <v>36</v>
      </c>
      <c r="D122" s="1031">
        <v>4</v>
      </c>
      <c r="E122" s="1023" t="s">
        <v>955</v>
      </c>
      <c r="F122" s="483">
        <f>D119</f>
        <v>80</v>
      </c>
      <c r="G122" s="298" t="s">
        <v>180</v>
      </c>
      <c r="H122" s="480">
        <v>300</v>
      </c>
      <c r="I122" s="299">
        <f>IFERROR((H121^4/24/H120)^(1/3),"")</f>
        <v>301.13152924192894</v>
      </c>
      <c r="O122"/>
      <c r="P122"/>
    </row>
    <row r="123" spans="3:16">
      <c r="C123" s="1027" t="s">
        <v>948</v>
      </c>
      <c r="D123" s="1030">
        <f>18*D122/D117</f>
        <v>1.0285714285714285</v>
      </c>
      <c r="E123" s="1024" t="s">
        <v>969</v>
      </c>
      <c r="F123" s="487">
        <f>(D117/3.6*2.5+F121^2/D119)/D119*180/PI()</f>
        <v>92.11092331443443</v>
      </c>
      <c r="G123" s="300" t="s">
        <v>181</v>
      </c>
      <c r="H123" s="484">
        <v>1</v>
      </c>
      <c r="I123" s="486">
        <f>IFERROR(H125^2/24/H124,"")</f>
        <v>1.0034722222222223</v>
      </c>
      <c r="O123"/>
      <c r="P123"/>
    </row>
    <row r="124" spans="3:16">
      <c r="C124" s="300" t="s">
        <v>952</v>
      </c>
      <c r="D124" s="486">
        <f>0.1*D122</f>
        <v>0.4</v>
      </c>
      <c r="E124" s="1022" t="s">
        <v>265</v>
      </c>
      <c r="F124" s="486">
        <f>D119*TAN(F123/2*PI()/180)+F121^2/D119/2</f>
        <v>123.00306496929414</v>
      </c>
      <c r="G124" s="300" t="s">
        <v>180</v>
      </c>
      <c r="H124" s="474">
        <v>300</v>
      </c>
      <c r="I124" s="475">
        <f>IFERROR(H125^2/24/H123,"")</f>
        <v>301.04166666666669</v>
      </c>
      <c r="O124"/>
      <c r="P124"/>
    </row>
    <row r="125" spans="3:16" ht="13.5" thickBot="1">
      <c r="C125" s="300" t="s">
        <v>949</v>
      </c>
      <c r="D125" s="486">
        <f>D122*ABS(D121-D120)/100</f>
        <v>0.56000000000000005</v>
      </c>
      <c r="E125" s="1022" t="s">
        <v>957</v>
      </c>
      <c r="F125" s="486">
        <f>D117/3.6*2.5</f>
        <v>48.611111111111107</v>
      </c>
      <c r="G125" s="298" t="s">
        <v>51</v>
      </c>
      <c r="H125" s="480">
        <v>85</v>
      </c>
      <c r="I125" s="299">
        <f>IFERROR(SQRT(H123*24*H124),"")</f>
        <v>84.852813742385706</v>
      </c>
      <c r="O125"/>
      <c r="P125"/>
    </row>
    <row r="126" spans="3:16">
      <c r="C126" s="300" t="s">
        <v>950</v>
      </c>
      <c r="D126" s="1044">
        <f>D125/D123*100</f>
        <v>54.44444444444445</v>
      </c>
      <c r="E126" s="1025" t="s">
        <v>181</v>
      </c>
      <c r="F126" s="1046">
        <f>F121^4/24/D119^3</f>
        <v>3.3333333333333335</v>
      </c>
      <c r="G126"/>
      <c r="H126"/>
      <c r="I126"/>
      <c r="O126"/>
      <c r="P126"/>
    </row>
    <row r="127" spans="3:16" ht="13.5" thickBot="1">
      <c r="C127" s="298" t="s">
        <v>951</v>
      </c>
      <c r="D127" s="1045">
        <f>D125/D124*100</f>
        <v>140</v>
      </c>
      <c r="E127" s="1026" t="s">
        <v>51</v>
      </c>
      <c r="F127" s="482">
        <f>F121^2/D119</f>
        <v>80</v>
      </c>
      <c r="G127"/>
      <c r="H127"/>
      <c r="I127"/>
    </row>
    <row r="128" spans="3:16" ht="13.5" thickBot="1"/>
    <row r="129" spans="3:16" ht="13.5" thickBot="1">
      <c r="C129" s="1193" t="s">
        <v>878</v>
      </c>
      <c r="D129" s="1194"/>
    </row>
    <row r="130" spans="3:16" ht="13.5" thickBot="1">
      <c r="N130" s="335"/>
      <c r="O130" s="335"/>
      <c r="P130" s="335"/>
    </row>
    <row r="131" spans="3:16" ht="13.5" thickBot="1">
      <c r="C131" s="1198" t="s">
        <v>917</v>
      </c>
      <c r="D131" s="1199"/>
      <c r="E131" s="181"/>
    </row>
    <row r="132" spans="3:16">
      <c r="C132" s="266" t="s">
        <v>78</v>
      </c>
      <c r="D132" s="297">
        <v>345</v>
      </c>
    </row>
    <row r="133" spans="3:16">
      <c r="C133" s="300" t="s">
        <v>79</v>
      </c>
      <c r="D133" s="301">
        <v>254</v>
      </c>
    </row>
    <row r="134" spans="3:16" ht="13.5" thickBot="1">
      <c r="C134" s="298" t="s">
        <v>51</v>
      </c>
      <c r="D134" s="488">
        <f>(D132+D133)/12.5</f>
        <v>47.92</v>
      </c>
    </row>
    <row r="135" spans="3:16" ht="13.5" thickBot="1"/>
    <row r="136" spans="3:16" ht="13.5" thickBot="1">
      <c r="C136" s="1173" t="s">
        <v>852</v>
      </c>
      <c r="D136" s="1174"/>
      <c r="E136" s="1174"/>
      <c r="F136" s="1175"/>
      <c r="G136" s="181"/>
      <c r="H136" s="181"/>
      <c r="I136"/>
      <c r="J136"/>
      <c r="K136"/>
      <c r="L136"/>
    </row>
    <row r="137" spans="3:16" ht="13.5" thickBot="1"/>
    <row r="138" spans="3:16" ht="13.5" thickBot="1">
      <c r="C138" s="1202" t="s">
        <v>947</v>
      </c>
      <c r="D138" s="1203"/>
      <c r="E138" s="1203"/>
      <c r="F138" s="1204"/>
    </row>
    <row r="139" spans="3:16" ht="25.5">
      <c r="C139" s="254" t="s">
        <v>946</v>
      </c>
      <c r="D139" s="489">
        <v>60</v>
      </c>
      <c r="E139" s="255" t="s">
        <v>498</v>
      </c>
      <c r="F139" s="256" t="s">
        <v>236</v>
      </c>
    </row>
    <row r="140" spans="3:16">
      <c r="C140" s="272" t="s">
        <v>237</v>
      </c>
      <c r="D140" s="490">
        <v>1.5</v>
      </c>
      <c r="E140" s="273"/>
      <c r="F140" s="281"/>
    </row>
    <row r="141" spans="3:16" ht="25.5">
      <c r="C141" s="272" t="s">
        <v>500</v>
      </c>
      <c r="D141" s="490">
        <v>3.75</v>
      </c>
      <c r="E141" s="491">
        <f>D139</f>
        <v>60</v>
      </c>
      <c r="F141" s="478">
        <f>IF(45/E141&lt;0.2,0,45/E141)</f>
        <v>0.75</v>
      </c>
    </row>
    <row r="142" spans="3:16" ht="25.5">
      <c r="C142" s="272" t="s">
        <v>499</v>
      </c>
      <c r="D142" s="491">
        <f>D141</f>
        <v>3.75</v>
      </c>
      <c r="E142" s="491">
        <f>IF(D139&gt;40,D139,D139+D142)</f>
        <v>60</v>
      </c>
      <c r="F142" s="478">
        <f>IF(45/E142&lt;0.2,0,45/E142)</f>
        <v>0.75</v>
      </c>
    </row>
    <row r="143" spans="3:16">
      <c r="C143" s="272" t="s">
        <v>237</v>
      </c>
      <c r="D143" s="491">
        <f>D140</f>
        <v>1.5</v>
      </c>
      <c r="E143" s="273"/>
      <c r="F143" s="281"/>
    </row>
    <row r="144" spans="3:16" ht="13.5" thickBot="1">
      <c r="C144" s="279" t="s">
        <v>497</v>
      </c>
      <c r="D144" s="492">
        <f>D140+D141+D142+D143</f>
        <v>10.5</v>
      </c>
      <c r="E144" s="280"/>
      <c r="F144" s="493">
        <f>D140+D141+F141+D142+F142+D143</f>
        <v>12</v>
      </c>
    </row>
    <row r="146" spans="3:14" ht="13.5" thickBot="1"/>
    <row r="147" spans="3:14" ht="13.5" thickBot="1">
      <c r="C147" s="1195" t="s">
        <v>380</v>
      </c>
      <c r="D147" s="1196"/>
      <c r="E147" s="1196"/>
      <c r="F147" s="1197"/>
    </row>
    <row r="148" spans="3:14">
      <c r="C148" s="266" t="s">
        <v>18</v>
      </c>
      <c r="D148" s="267" t="s">
        <v>381</v>
      </c>
      <c r="E148" s="267" t="s">
        <v>371</v>
      </c>
      <c r="F148" s="268" t="s">
        <v>382</v>
      </c>
    </row>
    <row r="149" spans="3:14">
      <c r="C149" s="494">
        <v>140</v>
      </c>
      <c r="D149" s="495">
        <v>7.5</v>
      </c>
      <c r="E149" s="496">
        <f>0.45*C149*SQRT(D149)</f>
        <v>172.53260561412733</v>
      </c>
      <c r="F149" s="306" t="s">
        <v>953</v>
      </c>
    </row>
    <row r="150" spans="3:14" ht="13.5" thickBot="1">
      <c r="C150" s="497">
        <v>140</v>
      </c>
      <c r="D150" s="498">
        <v>3.75</v>
      </c>
      <c r="E150" s="499">
        <f>0.6*C150*SQRT(D150)</f>
        <v>162.66530054071151</v>
      </c>
      <c r="F150" s="310" t="s">
        <v>7</v>
      </c>
    </row>
    <row r="152" spans="3:14" ht="13.5" thickBot="1"/>
    <row r="153" spans="3:14" ht="13.5" thickBot="1">
      <c r="C153" s="1195" t="s">
        <v>427</v>
      </c>
      <c r="D153" s="1196"/>
      <c r="E153" s="1196"/>
      <c r="F153" s="1196"/>
      <c r="G153" s="1197"/>
    </row>
    <row r="154" spans="3:14">
      <c r="C154" s="266" t="s">
        <v>431</v>
      </c>
      <c r="D154" s="267" t="s">
        <v>428</v>
      </c>
      <c r="E154" s="267" t="s">
        <v>429</v>
      </c>
      <c r="F154" s="267" t="s">
        <v>430</v>
      </c>
      <c r="G154" s="268" t="s">
        <v>431</v>
      </c>
    </row>
    <row r="155" spans="3:14">
      <c r="C155" s="300"/>
      <c r="D155" s="500">
        <v>9080.93</v>
      </c>
      <c r="E155" s="500">
        <v>9116.7900000000009</v>
      </c>
      <c r="F155" s="500">
        <v>9122.5959999999995</v>
      </c>
      <c r="G155" s="338"/>
    </row>
    <row r="156" spans="3:14">
      <c r="C156" s="300" t="s">
        <v>434</v>
      </c>
      <c r="D156" s="500">
        <v>2.5</v>
      </c>
      <c r="E156" s="491">
        <f>D156-(D156-F156)/($F$155-$D$155)*($E$155-$D$155)</f>
        <v>-1.803268852301783</v>
      </c>
      <c r="F156" s="500">
        <v>-2.5</v>
      </c>
      <c r="G156" s="338" t="s">
        <v>432</v>
      </c>
    </row>
    <row r="157" spans="3:14" ht="13.5" thickBot="1">
      <c r="C157" s="298" t="s">
        <v>435</v>
      </c>
      <c r="D157" s="501">
        <v>-2.5</v>
      </c>
      <c r="E157" s="492">
        <f>D157-(D157-F157)/($F$155-$D$155)*($E$155-$D$155)</f>
        <v>-2.5</v>
      </c>
      <c r="F157" s="501">
        <v>-2.5</v>
      </c>
      <c r="G157" s="337" t="s">
        <v>433</v>
      </c>
    </row>
    <row r="159" spans="3:14" ht="13.5" thickBot="1"/>
    <row r="160" spans="3:14" ht="15" customHeight="1" thickBot="1">
      <c r="C160" s="1195" t="s">
        <v>191</v>
      </c>
      <c r="D160" s="1196"/>
      <c r="E160" s="1196"/>
      <c r="F160" s="1196"/>
      <c r="G160" s="1196"/>
      <c r="H160" s="1196"/>
      <c r="I160" s="1196"/>
      <c r="J160" s="1196"/>
      <c r="K160" s="1196"/>
      <c r="L160" s="1196"/>
      <c r="M160" s="1196"/>
      <c r="N160" s="1197"/>
    </row>
    <row r="161" spans="3:14" ht="15" customHeight="1" thickBot="1">
      <c r="C161" s="1195" t="s">
        <v>205</v>
      </c>
      <c r="D161" s="1196"/>
      <c r="E161" s="1196"/>
      <c r="F161" s="1196"/>
      <c r="G161" s="1196"/>
      <c r="H161" s="1196"/>
      <c r="I161" s="1196"/>
      <c r="J161" s="1196"/>
      <c r="K161" s="1196"/>
      <c r="L161" s="1196"/>
      <c r="M161" s="1196"/>
      <c r="N161" s="1197"/>
    </row>
    <row r="162" spans="3:14" ht="15" customHeight="1">
      <c r="C162" s="1013" t="s">
        <v>78</v>
      </c>
      <c r="D162" s="268"/>
      <c r="E162" s="1205" t="s">
        <v>199</v>
      </c>
      <c r="F162" s="1207"/>
      <c r="G162" s="1205" t="s">
        <v>200</v>
      </c>
      <c r="H162" s="1206"/>
      <c r="I162" s="1206"/>
      <c r="J162" s="1206"/>
      <c r="K162" s="1206"/>
      <c r="L162" s="1206"/>
      <c r="M162" s="1206"/>
      <c r="N162" s="1207"/>
    </row>
    <row r="163" spans="3:14" ht="12.75" customHeight="1">
      <c r="C163" s="1014">
        <v>1300</v>
      </c>
      <c r="D163" s="507"/>
      <c r="E163" s="508"/>
      <c r="F163" s="507"/>
      <c r="G163" s="508"/>
      <c r="H163" s="509"/>
      <c r="I163" s="510" t="s">
        <v>204</v>
      </c>
      <c r="J163" s="476" t="s">
        <v>896</v>
      </c>
      <c r="K163" s="476" t="s">
        <v>202</v>
      </c>
      <c r="L163" s="476" t="s">
        <v>203</v>
      </c>
      <c r="M163" s="476" t="s">
        <v>197</v>
      </c>
      <c r="N163" s="507"/>
    </row>
    <row r="164" spans="3:14">
      <c r="C164" s="1015" t="s">
        <v>180</v>
      </c>
      <c r="D164" s="512" t="s">
        <v>897</v>
      </c>
      <c r="E164" s="511" t="s">
        <v>192</v>
      </c>
      <c r="F164" s="512" t="s">
        <v>196</v>
      </c>
      <c r="G164" s="511" t="s">
        <v>192</v>
      </c>
      <c r="H164" s="510" t="s">
        <v>897</v>
      </c>
      <c r="I164" s="503">
        <f>C163*C163/C165</f>
        <v>130</v>
      </c>
      <c r="J164" s="513">
        <f>C163^2/2/C165^2</f>
        <v>5.0000000000000001E-3</v>
      </c>
      <c r="K164" s="503">
        <f>(C163*SQRT(2*J164*PI()/180))-(C163*SQRT(2*J164*PI()/180)*J164*PI()/180/3)/(TAN(J164*PI()/180))</f>
        <v>11.44961220761633</v>
      </c>
      <c r="L164" s="503">
        <f>(C163*SQRT(2*J164*PI()/180)*J164*PI()/180/3)/(SIN(J164*PI()/180))</f>
        <v>5.7248061038081648</v>
      </c>
      <c r="M164" s="503">
        <f>F165+I164/2</f>
        <v>220.42897532801803</v>
      </c>
      <c r="N164" s="512" t="s">
        <v>193</v>
      </c>
    </row>
    <row r="165" spans="3:14">
      <c r="C165" s="1014">
        <v>13000</v>
      </c>
      <c r="D165" s="514">
        <v>1.37</v>
      </c>
      <c r="E165" s="515">
        <f>C165*D165*PI()/180</f>
        <v>310.84313978019009</v>
      </c>
      <c r="F165" s="475">
        <f>C165*TAN(D165/2*PI()/180)</f>
        <v>155.42897532801803</v>
      </c>
      <c r="G165" s="515">
        <f>E165-I164</f>
        <v>180.84313978019009</v>
      </c>
      <c r="H165" s="516">
        <f>G165/C165*180/PI()</f>
        <v>0.79704220486917676</v>
      </c>
      <c r="I165" s="510" t="s">
        <v>204</v>
      </c>
      <c r="J165" s="476" t="s">
        <v>201</v>
      </c>
      <c r="K165" s="476" t="s">
        <v>202</v>
      </c>
      <c r="L165" s="476" t="s">
        <v>203</v>
      </c>
      <c r="M165" s="476" t="s">
        <v>198</v>
      </c>
      <c r="N165" s="478">
        <f>E165+I164/2+I166/2</f>
        <v>440.84313978019009</v>
      </c>
    </row>
    <row r="166" spans="3:14">
      <c r="C166" s="1015" t="s">
        <v>79</v>
      </c>
      <c r="D166" s="507"/>
      <c r="E166" s="508"/>
      <c r="F166" s="517"/>
      <c r="G166" s="518"/>
      <c r="H166" s="519"/>
      <c r="I166" s="503">
        <f>C167*C167/C165</f>
        <v>130</v>
      </c>
      <c r="J166" s="513">
        <f>C167^2/2/C165^2</f>
        <v>5.0000000000000001E-3</v>
      </c>
      <c r="K166" s="503">
        <f>(C167*SQRT(2*J166*PI()/180))-(C167*SQRT(2*J166*PI()/180)*J166*PI()/180/3)/(TAN(J166*PI()/180))</f>
        <v>11.44961220761633</v>
      </c>
      <c r="L166" s="503">
        <f>(C167*SQRT(2*J166*PI()/180)*J166*PI()/180/3)/(SIN(J166*PI()/180))</f>
        <v>5.7248061038081648</v>
      </c>
      <c r="M166" s="503">
        <f>F165+I166/2</f>
        <v>220.42897532801803</v>
      </c>
      <c r="N166" s="507"/>
    </row>
    <row r="167" spans="3:14" ht="13.5" thickBot="1">
      <c r="C167" s="1016">
        <v>1300</v>
      </c>
      <c r="D167" s="520"/>
      <c r="E167" s="521"/>
      <c r="F167" s="522"/>
      <c r="G167" s="523"/>
      <c r="H167" s="524"/>
      <c r="I167" s="524"/>
      <c r="J167" s="525"/>
      <c r="K167" s="526"/>
      <c r="L167" s="526"/>
      <c r="M167" s="526"/>
      <c r="N167" s="520"/>
    </row>
    <row r="168" spans="3:14" ht="13.5" thickBot="1">
      <c r="C168" s="1195" t="s">
        <v>207</v>
      </c>
      <c r="D168" s="1196"/>
      <c r="E168" s="1196"/>
      <c r="F168" s="1196"/>
      <c r="G168" s="1196"/>
      <c r="H168" s="1196"/>
      <c r="I168" s="1196"/>
      <c r="J168" s="1196"/>
      <c r="K168" s="1196"/>
      <c r="L168" s="1196"/>
      <c r="M168" s="1196"/>
      <c r="N168" s="1197"/>
    </row>
    <row r="169" spans="3:14" ht="25.5">
      <c r="C169" s="1013" t="s">
        <v>195</v>
      </c>
      <c r="D169" s="527"/>
      <c r="E169" s="506"/>
      <c r="F169" s="528" t="s">
        <v>208</v>
      </c>
      <c r="G169" s="529"/>
      <c r="H169" s="530"/>
      <c r="I169" s="267"/>
      <c r="J169" s="267"/>
      <c r="K169" s="267"/>
      <c r="L169" s="267"/>
      <c r="M169" s="530" t="s">
        <v>208</v>
      </c>
      <c r="N169" s="528" t="s">
        <v>194</v>
      </c>
    </row>
    <row r="170" spans="3:14" ht="13.5" thickBot="1">
      <c r="C170" s="1017">
        <v>2000</v>
      </c>
      <c r="D170" s="531"/>
      <c r="E170" s="521"/>
      <c r="F170" s="482">
        <f>C170-F165-F175</f>
        <v>1599.6027667993949</v>
      </c>
      <c r="G170" s="532"/>
      <c r="H170" s="526"/>
      <c r="I170" s="526"/>
      <c r="J170" s="526"/>
      <c r="K170" s="526"/>
      <c r="L170" s="526"/>
      <c r="M170" s="505">
        <f>C170-M166-M174</f>
        <v>1373.4420525136807</v>
      </c>
      <c r="N170" s="488">
        <f>(C167+C173)/12.5</f>
        <v>180</v>
      </c>
    </row>
    <row r="171" spans="3:14" ht="13.5" thickBot="1">
      <c r="C171" s="1195" t="s">
        <v>206</v>
      </c>
      <c r="D171" s="1196"/>
      <c r="E171" s="1196"/>
      <c r="F171" s="1196"/>
      <c r="G171" s="1196"/>
      <c r="H171" s="1196"/>
      <c r="I171" s="1196"/>
      <c r="J171" s="1196"/>
      <c r="K171" s="1196"/>
      <c r="L171" s="1196"/>
      <c r="M171" s="1196"/>
      <c r="N171" s="1197"/>
    </row>
    <row r="172" spans="3:14">
      <c r="C172" s="1013" t="s">
        <v>78</v>
      </c>
      <c r="D172" s="268"/>
      <c r="E172" s="1205" t="s">
        <v>199</v>
      </c>
      <c r="F172" s="1207"/>
      <c r="G172" s="1205" t="s">
        <v>200</v>
      </c>
      <c r="H172" s="1206"/>
      <c r="I172" s="1206"/>
      <c r="J172" s="1206"/>
      <c r="K172" s="1206"/>
      <c r="L172" s="1206"/>
      <c r="M172" s="1206"/>
      <c r="N172" s="1207"/>
    </row>
    <row r="173" spans="3:14">
      <c r="C173" s="1014">
        <v>950</v>
      </c>
      <c r="D173" s="507"/>
      <c r="E173" s="508"/>
      <c r="F173" s="507"/>
      <c r="G173" s="508"/>
      <c r="H173" s="509"/>
      <c r="I173" s="510" t="s">
        <v>204</v>
      </c>
      <c r="J173" s="476" t="s">
        <v>896</v>
      </c>
      <c r="K173" s="476" t="s">
        <v>202</v>
      </c>
      <c r="L173" s="476" t="s">
        <v>203</v>
      </c>
      <c r="M173" s="476" t="s">
        <v>197</v>
      </c>
      <c r="N173" s="507"/>
    </row>
    <row r="174" spans="3:14">
      <c r="C174" s="1015" t="s">
        <v>180</v>
      </c>
      <c r="D174" s="512" t="s">
        <v>897</v>
      </c>
      <c r="E174" s="511" t="s">
        <v>192</v>
      </c>
      <c r="F174" s="512" t="s">
        <v>196</v>
      </c>
      <c r="G174" s="511" t="s">
        <v>192</v>
      </c>
      <c r="H174" s="510" t="s">
        <v>897</v>
      </c>
      <c r="I174" s="503">
        <f>C173*C173/C175</f>
        <v>322.32142857142856</v>
      </c>
      <c r="J174" s="533">
        <f>C173^2/2/C175^2</f>
        <v>5.7557397959183673E-2</v>
      </c>
      <c r="K174" s="503">
        <f>(C173*SQRT(2*J174*PI()/180))-(C173*SQRT(2*J174*PI()/180)*J174*PI()/180/3)/(TAN(J174*PI()/180))</f>
        <v>28.388122918226546</v>
      </c>
      <c r="L174" s="503">
        <f>(C173*SQRT(2*J174*PI()/180)*J174*PI()/180/3)/(SIN(J174*PI()/180))</f>
        <v>14.194061459113398</v>
      </c>
      <c r="M174" s="503">
        <f>F175+I174/2</f>
        <v>406.12897215830151</v>
      </c>
      <c r="N174" s="512" t="s">
        <v>193</v>
      </c>
    </row>
    <row r="175" spans="3:14">
      <c r="C175" s="1014">
        <v>2800</v>
      </c>
      <c r="D175" s="514">
        <v>10</v>
      </c>
      <c r="E175" s="515">
        <f>C175*D175*PI()/180</f>
        <v>488.69219055841222</v>
      </c>
      <c r="F175" s="475">
        <f>C175*TAN(D175/2*PI()/180)</f>
        <v>244.96825787258723</v>
      </c>
      <c r="G175" s="515">
        <f>E175-I174</f>
        <v>166.37076198698367</v>
      </c>
      <c r="H175" s="516">
        <f>G175/C175*180/PI()</f>
        <v>3.404408034367755</v>
      </c>
      <c r="I175" s="510" t="s">
        <v>204</v>
      </c>
      <c r="J175" s="476" t="s">
        <v>201</v>
      </c>
      <c r="K175" s="476" t="s">
        <v>202</v>
      </c>
      <c r="L175" s="476" t="s">
        <v>203</v>
      </c>
      <c r="M175" s="476" t="s">
        <v>198</v>
      </c>
      <c r="N175" s="478">
        <f>E175+I174/2+I176/2</f>
        <v>811.01361912984066</v>
      </c>
    </row>
    <row r="176" spans="3:14">
      <c r="C176" s="1015" t="s">
        <v>79</v>
      </c>
      <c r="D176" s="507"/>
      <c r="E176" s="508"/>
      <c r="F176" s="517"/>
      <c r="G176" s="518"/>
      <c r="H176" s="519"/>
      <c r="I176" s="503">
        <f>C177*C177/C175</f>
        <v>322.32142857142856</v>
      </c>
      <c r="J176" s="533">
        <f>C177^2/2/C175^2</f>
        <v>5.7557397959183673E-2</v>
      </c>
      <c r="K176" s="503">
        <f>(C177*SQRT(2*J176*PI()/180))-(C177*SQRT(2*J176*PI()/180)*J176*PI()/180/3)/(TAN(J176*PI()/180))</f>
        <v>28.388122918226546</v>
      </c>
      <c r="L176" s="503">
        <f>(C177*SQRT(2*J176*PI()/180)*J176*PI()/180/3)/(SIN(J176*PI()/180))</f>
        <v>14.194061459113398</v>
      </c>
      <c r="M176" s="503">
        <f>F175+I176/2</f>
        <v>406.12897215830151</v>
      </c>
      <c r="N176" s="507"/>
    </row>
    <row r="177" spans="3:14" ht="13.5" thickBot="1">
      <c r="C177" s="1016">
        <v>950</v>
      </c>
      <c r="D177" s="520"/>
      <c r="E177" s="521"/>
      <c r="F177" s="522"/>
      <c r="G177" s="523"/>
      <c r="H177" s="524"/>
      <c r="I177" s="524"/>
      <c r="J177" s="525"/>
      <c r="K177" s="526"/>
      <c r="L177" s="526"/>
      <c r="M177" s="526"/>
      <c r="N177" s="520"/>
    </row>
    <row r="181" spans="3:14" ht="13.5" thickBot="1"/>
    <row r="182" spans="3:14" ht="13.5" thickBot="1">
      <c r="C182" s="1195" t="s">
        <v>279</v>
      </c>
      <c r="D182" s="1196"/>
      <c r="E182" s="1197"/>
    </row>
    <row r="183" spans="3:14">
      <c r="C183" s="266"/>
      <c r="D183" s="267" t="s">
        <v>182</v>
      </c>
      <c r="E183" s="268" t="s">
        <v>183</v>
      </c>
    </row>
    <row r="184" spans="3:14">
      <c r="C184" s="300" t="s">
        <v>180</v>
      </c>
      <c r="D184" s="474">
        <v>3000</v>
      </c>
      <c r="E184" s="475">
        <f>(D185*D185+D186+D186)/4/D186</f>
        <v>94.730769230769226</v>
      </c>
    </row>
    <row r="185" spans="3:14">
      <c r="C185" s="300" t="s">
        <v>51</v>
      </c>
      <c r="D185" s="474">
        <v>70</v>
      </c>
      <c r="E185" s="478">
        <f>SQRT((4*D186*D184-D186*D186))</f>
        <v>394.75435399752087</v>
      </c>
    </row>
    <row r="186" spans="3:14" ht="13.5" thickBot="1">
      <c r="C186" s="298" t="s">
        <v>106</v>
      </c>
      <c r="D186" s="501">
        <v>13</v>
      </c>
      <c r="E186" s="482">
        <f>2*D184-SQRT(4*D184*D184-D185*D185)</f>
        <v>0.40834722895488085</v>
      </c>
    </row>
    <row r="188" spans="3:14" ht="13.5" thickBot="1"/>
    <row r="189" spans="3:14" ht="13.5" thickBot="1">
      <c r="C189" s="1195" t="s">
        <v>281</v>
      </c>
      <c r="D189" s="1196"/>
      <c r="E189" s="1197"/>
    </row>
    <row r="190" spans="3:14">
      <c r="C190" s="266" t="s">
        <v>284</v>
      </c>
      <c r="D190" s="504">
        <v>45</v>
      </c>
      <c r="E190" s="534">
        <f>ATAN(D191)*180/PI()</f>
        <v>33.822085217493957</v>
      </c>
    </row>
    <row r="191" spans="3:14" ht="13.5" thickBot="1">
      <c r="C191" s="298" t="s">
        <v>283</v>
      </c>
      <c r="D191" s="535">
        <v>0.67</v>
      </c>
      <c r="E191" s="536">
        <f>TAN(D190/180*PI())</f>
        <v>0.99999999999999989</v>
      </c>
    </row>
    <row r="192" spans="3:14">
      <c r="C192" s="266" t="s">
        <v>192</v>
      </c>
      <c r="D192" s="502">
        <v>3.61</v>
      </c>
      <c r="E192" s="534">
        <f>SQRT(D193*D193+D194*D194)</f>
        <v>3.6055512754639891</v>
      </c>
    </row>
    <row r="193" spans="3:13">
      <c r="C193" s="300" t="s">
        <v>51</v>
      </c>
      <c r="D193" s="500">
        <v>3</v>
      </c>
      <c r="E193" s="478">
        <f>SQRT(D192*D192-D194*D194)</f>
        <v>3.0053452380716594</v>
      </c>
    </row>
    <row r="194" spans="3:13">
      <c r="C194" s="300" t="s">
        <v>106</v>
      </c>
      <c r="D194" s="500">
        <v>2</v>
      </c>
      <c r="E194" s="478">
        <f>SQRT(D192*D192-D193*D193)</f>
        <v>2.0080089641234173</v>
      </c>
    </row>
    <row r="195" spans="3:13">
      <c r="C195" s="300" t="s">
        <v>285</v>
      </c>
      <c r="D195" s="537"/>
      <c r="E195" s="538">
        <f>D194/D193</f>
        <v>0.66666666666666663</v>
      </c>
    </row>
    <row r="196" spans="3:13" ht="13.5" thickBot="1">
      <c r="C196" s="298" t="s">
        <v>284</v>
      </c>
      <c r="D196" s="539"/>
      <c r="E196" s="482">
        <f>ATAN(E195)*180/PI()</f>
        <v>33.690067525979785</v>
      </c>
    </row>
    <row r="198" spans="3:13" ht="13.5" thickBot="1">
      <c r="C198" s="296" t="s">
        <v>166</v>
      </c>
      <c r="D198" s="296" t="s">
        <v>166</v>
      </c>
      <c r="E198" s="296" t="s">
        <v>166</v>
      </c>
      <c r="F198" s="296" t="s">
        <v>166</v>
      </c>
      <c r="G198" s="296" t="s">
        <v>166</v>
      </c>
      <c r="H198" s="296" t="s">
        <v>166</v>
      </c>
      <c r="I198" s="296" t="s">
        <v>166</v>
      </c>
      <c r="J198" s="296" t="s">
        <v>166</v>
      </c>
    </row>
    <row r="199" spans="3:13" ht="13.5" thickBot="1">
      <c r="C199" s="1195" t="s">
        <v>218</v>
      </c>
      <c r="D199" s="1196"/>
      <c r="E199" s="1196"/>
      <c r="F199" s="1196"/>
      <c r="G199" s="1196"/>
      <c r="H199" s="1197"/>
    </row>
    <row r="200" spans="3:13" ht="25.5">
      <c r="C200" s="266" t="s">
        <v>214</v>
      </c>
      <c r="D200" s="267" t="s">
        <v>210</v>
      </c>
      <c r="E200" s="267" t="s">
        <v>211</v>
      </c>
      <c r="F200" s="267" t="s">
        <v>212</v>
      </c>
      <c r="G200" s="255" t="s">
        <v>215</v>
      </c>
      <c r="H200" s="256" t="s">
        <v>898</v>
      </c>
    </row>
    <row r="201" spans="3:13" ht="13.5" thickBot="1">
      <c r="C201" s="497">
        <v>2800</v>
      </c>
      <c r="D201" s="498">
        <v>1.3</v>
      </c>
      <c r="E201" s="498">
        <v>0.7</v>
      </c>
      <c r="F201" s="498">
        <v>3.75</v>
      </c>
      <c r="G201" s="498">
        <v>245</v>
      </c>
      <c r="H201" s="540">
        <v>20</v>
      </c>
    </row>
    <row r="202" spans="3:13" s="185" customFormat="1" ht="38.25">
      <c r="C202" s="254" t="s">
        <v>219</v>
      </c>
      <c r="D202" s="255" t="s">
        <v>216</v>
      </c>
      <c r="E202" s="255" t="s">
        <v>209</v>
      </c>
      <c r="F202" s="255" t="s">
        <v>220</v>
      </c>
      <c r="G202" s="255" t="s">
        <v>213</v>
      </c>
      <c r="H202" s="256" t="s">
        <v>217</v>
      </c>
    </row>
    <row r="203" spans="3:13" ht="13.5" thickBot="1">
      <c r="C203" s="541">
        <f>C201+D201</f>
        <v>2801.3</v>
      </c>
      <c r="D203" s="505">
        <f>E201+F201/2</f>
        <v>2.5750000000000002</v>
      </c>
      <c r="E203" s="542">
        <f>ACOS(C203/(C203+D203))</f>
        <v>4.2860529588306884E-2</v>
      </c>
      <c r="F203" s="505">
        <f>(2*(H205+J205*G205^2-I205*G205)+SQRT((4*(I205*G205-H205-J205*G205^2)^2-4*G205^2*(H205^2+I205^2+J205^2*G205^2-2*I205*J205*G205))))/2/G205^2</f>
        <v>2786.0118702293389</v>
      </c>
      <c r="G203" s="505">
        <f>F203-F201/2-E201-D201</f>
        <v>2782.1368702293389</v>
      </c>
      <c r="H203" s="543">
        <f>(1-1/COS(C205/2))*(G203-C201)</f>
        <v>0.27556757003668791</v>
      </c>
      <c r="L203" s="344"/>
      <c r="M203" s="335"/>
    </row>
    <row r="204" spans="3:13">
      <c r="C204" s="296" t="s">
        <v>899</v>
      </c>
      <c r="D204" s="296" t="s">
        <v>900</v>
      </c>
      <c r="E204" s="296" t="s">
        <v>901</v>
      </c>
      <c r="F204" s="296" t="s">
        <v>902</v>
      </c>
      <c r="G204" s="296" t="s">
        <v>903</v>
      </c>
      <c r="H204" s="296" t="s">
        <v>904</v>
      </c>
      <c r="I204" s="296" t="s">
        <v>905</v>
      </c>
      <c r="J204" s="296" t="s">
        <v>906</v>
      </c>
    </row>
    <row r="205" spans="3:13">
      <c r="C205" s="331">
        <f>H201*PI()/180</f>
        <v>0.3490658503988659</v>
      </c>
      <c r="D205" s="331">
        <f>E203</f>
        <v>4.2860529588306884E-2</v>
      </c>
      <c r="E205" s="335">
        <f>SIN(E203)</f>
        <v>4.284740814954862E-2</v>
      </c>
      <c r="F205" s="335">
        <f>COS(E203)</f>
        <v>0.99908162810396328</v>
      </c>
      <c r="G205" s="335">
        <f>TAN(C205/2)</f>
        <v>0.17632698070846498</v>
      </c>
      <c r="H205" s="335">
        <f>G201*E205</f>
        <v>10.497614996639411</v>
      </c>
      <c r="I205" s="335">
        <f>G201*F205</f>
        <v>244.77499888547101</v>
      </c>
      <c r="J205" s="335">
        <f>C203+D203</f>
        <v>2803.875</v>
      </c>
    </row>
    <row r="207" spans="3:13" ht="13.5" thickBot="1"/>
    <row r="208" spans="3:13" ht="13.5" thickBot="1">
      <c r="C208" s="1195" t="s">
        <v>222</v>
      </c>
      <c r="D208" s="1196"/>
      <c r="E208" s="1196"/>
      <c r="F208" s="1196"/>
      <c r="G208" s="1196"/>
      <c r="H208" s="1197"/>
    </row>
    <row r="209" spans="3:10" ht="25.5">
      <c r="C209" s="266" t="s">
        <v>214</v>
      </c>
      <c r="D209" s="267" t="s">
        <v>210</v>
      </c>
      <c r="E209" s="267" t="s">
        <v>211</v>
      </c>
      <c r="F209" s="267" t="s">
        <v>212</v>
      </c>
      <c r="G209" s="255" t="s">
        <v>223</v>
      </c>
      <c r="H209" s="256" t="s">
        <v>898</v>
      </c>
    </row>
    <row r="210" spans="3:10" ht="13.5" thickBot="1">
      <c r="C210" s="497">
        <v>1754</v>
      </c>
      <c r="D210" s="498">
        <v>1.3</v>
      </c>
      <c r="E210" s="498">
        <v>0.7</v>
      </c>
      <c r="F210" s="498">
        <v>3.75</v>
      </c>
      <c r="G210" s="498">
        <v>286</v>
      </c>
      <c r="H210" s="540">
        <v>20.36</v>
      </c>
    </row>
    <row r="211" spans="3:10" ht="38.25">
      <c r="C211" s="254" t="s">
        <v>219</v>
      </c>
      <c r="D211" s="255" t="s">
        <v>216</v>
      </c>
      <c r="E211" s="255" t="s">
        <v>209</v>
      </c>
      <c r="F211" s="255" t="s">
        <v>224</v>
      </c>
      <c r="G211" s="255" t="s">
        <v>213</v>
      </c>
      <c r="H211" s="256" t="s">
        <v>217</v>
      </c>
      <c r="I211" s="185"/>
      <c r="J211" s="185"/>
    </row>
    <row r="212" spans="3:10" ht="13.5" thickBot="1">
      <c r="C212" s="541">
        <f>C210+D210</f>
        <v>1755.3</v>
      </c>
      <c r="D212" s="505">
        <f>F210/2+E210</f>
        <v>2.5750000000000002</v>
      </c>
      <c r="E212" s="542">
        <f>ACOS(C212/(C212+D212))</f>
        <v>5.4133068821979657E-2</v>
      </c>
      <c r="F212" s="505">
        <f>(-(G216*F216-C216)+SQRT((G216*F216-C216)^2-F216^2*(C216^2+G216^2)))/F216^2</f>
        <v>1507.8577925937616</v>
      </c>
      <c r="G212" s="505">
        <f>F212-F210/2-F210-E210-D210</f>
        <v>1500.2327925937616</v>
      </c>
      <c r="H212" s="543">
        <f>(1-1/COS(C214/2))*(G212-C210)</f>
        <v>4.0588624216542355</v>
      </c>
    </row>
    <row r="213" spans="3:10">
      <c r="C213" s="296" t="s">
        <v>899</v>
      </c>
      <c r="D213" s="296" t="s">
        <v>900</v>
      </c>
      <c r="E213" s="296" t="s">
        <v>901</v>
      </c>
      <c r="F213" s="296" t="s">
        <v>902</v>
      </c>
      <c r="G213" s="296" t="s">
        <v>907</v>
      </c>
    </row>
    <row r="214" spans="3:10">
      <c r="C214" s="331">
        <f>H210*PI()/180</f>
        <v>0.35534903570604548</v>
      </c>
      <c r="D214" s="331">
        <f>E212</f>
        <v>5.4133068821979657E-2</v>
      </c>
      <c r="E214" s="335">
        <f>SIN(E212)</f>
        <v>5.4106634202630434E-2</v>
      </c>
      <c r="F214" s="335">
        <f>COS(E212)</f>
        <v>0.99853516319419755</v>
      </c>
      <c r="G214" s="335">
        <f>TAN(C214/2)</f>
        <v>0.17956805530856768</v>
      </c>
      <c r="H214" s="335"/>
    </row>
    <row r="215" spans="3:10">
      <c r="C215" s="296" t="s">
        <v>9</v>
      </c>
      <c r="D215" s="296" t="s">
        <v>12</v>
      </c>
      <c r="E215" s="296" t="s">
        <v>13</v>
      </c>
      <c r="F215" s="296" t="s">
        <v>14</v>
      </c>
      <c r="G215" s="296" t="s">
        <v>105</v>
      </c>
    </row>
    <row r="216" spans="3:10">
      <c r="C216" s="335">
        <f>F210+G210*E214</f>
        <v>19.224497381952304</v>
      </c>
      <c r="D216" s="335">
        <f>G210*F214</f>
        <v>285.5810566735405</v>
      </c>
      <c r="E216" s="335">
        <f>F210+D212+D210+C210</f>
        <v>1761.625</v>
      </c>
      <c r="F216" s="335">
        <f>G214</f>
        <v>0.17956805530856768</v>
      </c>
      <c r="G216" s="335">
        <f>D216-E216*F216</f>
        <v>-30.750518759415002</v>
      </c>
      <c r="H216" s="335"/>
      <c r="I216" s="335"/>
    </row>
  </sheetData>
  <mergeCells count="46">
    <mergeCell ref="C161:N161"/>
    <mergeCell ref="C160:N160"/>
    <mergeCell ref="H53:J53"/>
    <mergeCell ref="G82:M82"/>
    <mergeCell ref="C81:M81"/>
    <mergeCell ref="C153:G153"/>
    <mergeCell ref="H110:I110"/>
    <mergeCell ref="C138:F138"/>
    <mergeCell ref="C147:F147"/>
    <mergeCell ref="C101:D101"/>
    <mergeCell ref="C136:F136"/>
    <mergeCell ref="C108:I108"/>
    <mergeCell ref="C116:F116"/>
    <mergeCell ref="C208:H208"/>
    <mergeCell ref="C199:H199"/>
    <mergeCell ref="G162:N162"/>
    <mergeCell ref="C189:E189"/>
    <mergeCell ref="C168:N168"/>
    <mergeCell ref="C182:E182"/>
    <mergeCell ref="E172:F172"/>
    <mergeCell ref="G172:N172"/>
    <mergeCell ref="C171:N171"/>
    <mergeCell ref="E162:F162"/>
    <mergeCell ref="C3:G3"/>
    <mergeCell ref="C129:D129"/>
    <mergeCell ref="C131:D131"/>
    <mergeCell ref="F9:G9"/>
    <mergeCell ref="C13:D13"/>
    <mergeCell ref="F19:G19"/>
    <mergeCell ref="F7:G7"/>
    <mergeCell ref="C5:G5"/>
    <mergeCell ref="C7:D7"/>
    <mergeCell ref="C36:D36"/>
    <mergeCell ref="C103:D103"/>
    <mergeCell ref="C110:D110"/>
    <mergeCell ref="C43:E43"/>
    <mergeCell ref="F15:G15"/>
    <mergeCell ref="C9:D9"/>
    <mergeCell ref="G116:I116"/>
    <mergeCell ref="C34:N34"/>
    <mergeCell ref="C114:D114"/>
    <mergeCell ref="E114:F114"/>
    <mergeCell ref="H44:J44"/>
    <mergeCell ref="L44:N44"/>
    <mergeCell ref="C112:D112"/>
    <mergeCell ref="C82:F82"/>
  </mergeCells>
  <phoneticPr fontId="0" type="noConversion"/>
  <conditionalFormatting sqref="G165">
    <cfRule type="cellIs" dxfId="42" priority="7" stopIfTrue="1" operator="lessThanOrEqual">
      <formula>0</formula>
    </cfRule>
  </conditionalFormatting>
  <conditionalFormatting sqref="H165 G175:H175 F170 M170">
    <cfRule type="cellIs" dxfId="41" priority="8" stopIfTrue="1" operator="lessThanOrEqual">
      <formula>0</formula>
    </cfRule>
  </conditionalFormatting>
  <conditionalFormatting sqref="F203">
    <cfRule type="cellIs" dxfId="40" priority="9" stopIfTrue="1" operator="greaterThan">
      <formula>$C$201+$D$201+$E$201+$F$201/2</formula>
    </cfRule>
  </conditionalFormatting>
  <conditionalFormatting sqref="N47">
    <cfRule type="expression" dxfId="39" priority="1" stopIfTrue="1">
      <formula>$N$47&lt;$M$53</formula>
    </cfRule>
    <cfRule type="expression" dxfId="38" priority="2" stopIfTrue="1">
      <formula>$N$47&gt;$M$53</formula>
    </cfRule>
  </conditionalFormatting>
  <pageMargins left="0.75" right="0.75" top="1" bottom="1" header="0.5" footer="0.5"/>
  <pageSetup paperSize="9" scale="5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7"/>
  <dimension ref="C1:Z102"/>
  <sheetViews>
    <sheetView workbookViewId="0">
      <selection activeCell="F83" sqref="F83"/>
    </sheetView>
  </sheetViews>
  <sheetFormatPr defaultRowHeight="12.75"/>
  <cols>
    <col min="1" max="2" width="2.5703125" style="181" customWidth="1"/>
    <col min="3" max="17" width="12.85546875" style="181" customWidth="1"/>
    <col min="18" max="21" width="7.85546875" style="181" customWidth="1"/>
    <col min="22" max="23" width="9.140625" style="181" customWidth="1"/>
    <col min="24" max="26" width="8.5703125" style="181" customWidth="1"/>
    <col min="27" max="16384" width="9.140625" style="181"/>
  </cols>
  <sheetData>
    <row r="1" spans="3:18" ht="13.5" thickBot="1">
      <c r="C1" s="803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2" spans="3:18" ht="13.5" thickBot="1">
      <c r="C2" s="183"/>
      <c r="D2" s="183"/>
      <c r="E2" s="183"/>
      <c r="F2" s="183"/>
      <c r="G2" s="183"/>
    </row>
    <row r="3" spans="3:18" ht="13.5" thickBot="1">
      <c r="C3" s="1173" t="s">
        <v>888</v>
      </c>
      <c r="D3" s="1174"/>
      <c r="E3" s="1174"/>
      <c r="F3" s="1174"/>
      <c r="G3" s="1174"/>
      <c r="H3" s="1174"/>
      <c r="I3" s="1174"/>
      <c r="J3" s="1174"/>
      <c r="K3" s="1174"/>
      <c r="L3" s="1174"/>
      <c r="M3" s="1174"/>
      <c r="N3" s="1174"/>
      <c r="O3" s="1174"/>
      <c r="P3" s="1174"/>
      <c r="Q3" s="1175"/>
    </row>
    <row r="4" spans="3:18" ht="13.5" thickBot="1">
      <c r="C4" s="183"/>
      <c r="D4" s="183"/>
      <c r="E4" s="183"/>
      <c r="F4" s="183"/>
      <c r="G4" s="183"/>
    </row>
    <row r="5" spans="3:18" ht="13.5" thickBot="1">
      <c r="C5" s="1170" t="s">
        <v>538</v>
      </c>
      <c r="D5" s="1171"/>
      <c r="E5" s="1171"/>
      <c r="F5" s="1171"/>
      <c r="G5" s="1171"/>
      <c r="H5" s="1171"/>
      <c r="I5" s="1172"/>
      <c r="J5" s="544">
        <f>(LA*LA)-HT*(2*(RCONC+RCONV)-HT)</f>
        <v>62721</v>
      </c>
      <c r="K5" s="1170" t="s">
        <v>539</v>
      </c>
      <c r="L5" s="1171"/>
      <c r="M5" s="1171"/>
      <c r="N5" s="1171"/>
      <c r="O5" s="1171"/>
      <c r="P5" s="1171"/>
      <c r="Q5" s="1172"/>
      <c r="R5" s="545">
        <f>(L21*L21)-K21*(2*(K19+L19)-K21)</f>
        <v>-79376</v>
      </c>
    </row>
    <row r="6" spans="3:18" ht="13.5" thickBot="1">
      <c r="C6" s="1229" t="s">
        <v>0</v>
      </c>
      <c r="D6" s="1230"/>
      <c r="E6" s="1231"/>
      <c r="F6" s="1212" t="s">
        <v>629</v>
      </c>
      <c r="G6" s="1213"/>
      <c r="H6" s="1212" t="s">
        <v>630</v>
      </c>
      <c r="I6" s="1213"/>
      <c r="J6" s="544">
        <f>(LA-SQRT(DELTA))/(2*(RCONC+RCONV)-HT)</f>
        <v>1.6350508095914155E-2</v>
      </c>
      <c r="K6" s="1214" t="s">
        <v>0</v>
      </c>
      <c r="L6" s="1232"/>
      <c r="M6" s="1215"/>
      <c r="N6" s="1212" t="s">
        <v>629</v>
      </c>
      <c r="O6" s="1213"/>
      <c r="P6" s="1212" t="s">
        <v>630</v>
      </c>
      <c r="Q6" s="1213"/>
      <c r="R6" s="545" t="e">
        <f>(L21-SQRT(R5))/(2*(K19+L19)-K21)</f>
        <v>#NUM!</v>
      </c>
    </row>
    <row r="7" spans="3:18" ht="38.25">
      <c r="C7" s="254" t="s">
        <v>45</v>
      </c>
      <c r="D7" s="255" t="s">
        <v>537</v>
      </c>
      <c r="E7" s="256" t="s">
        <v>43</v>
      </c>
      <c r="F7" s="546" t="s">
        <v>47</v>
      </c>
      <c r="G7" s="283" t="s">
        <v>48</v>
      </c>
      <c r="H7" s="282" t="s">
        <v>44</v>
      </c>
      <c r="I7" s="283" t="s">
        <v>46</v>
      </c>
      <c r="J7" s="544">
        <f>2*ATAN(_TGA2)</f>
        <v>3.2698102572259337E-2</v>
      </c>
      <c r="K7" s="282" t="s">
        <v>45</v>
      </c>
      <c r="L7" s="255" t="s">
        <v>537</v>
      </c>
      <c r="M7" s="283" t="s">
        <v>43</v>
      </c>
      <c r="N7" s="282" t="s">
        <v>47</v>
      </c>
      <c r="O7" s="283" t="s">
        <v>48</v>
      </c>
      <c r="P7" s="282" t="s">
        <v>44</v>
      </c>
      <c r="Q7" s="283" t="s">
        <v>46</v>
      </c>
      <c r="R7" s="545" t="e">
        <f>2*ATAN(R6)</f>
        <v>#NUM!</v>
      </c>
    </row>
    <row r="8" spans="3:18" ht="13.5" thickBot="1">
      <c r="C8" s="547">
        <f>D14</f>
        <v>48.529065879811711</v>
      </c>
      <c r="D8" s="548">
        <f>D12</f>
        <v>50</v>
      </c>
      <c r="E8" s="549">
        <f>ABS(2*D13)</f>
        <v>10</v>
      </c>
      <c r="F8" s="550">
        <v>0.5</v>
      </c>
      <c r="G8" s="551">
        <v>1</v>
      </c>
      <c r="H8" s="552">
        <v>1.1000000000000001</v>
      </c>
      <c r="I8" s="553">
        <v>0.1</v>
      </c>
      <c r="J8" s="554">
        <f>SIN(AA)</f>
        <v>3.2692276267623763E-2</v>
      </c>
      <c r="K8" s="547">
        <f>L14</f>
        <v>233.45455430653431</v>
      </c>
      <c r="L8" s="548">
        <f>L12</f>
        <v>120</v>
      </c>
      <c r="M8" s="549">
        <f>ABS(L13*2)</f>
        <v>10</v>
      </c>
      <c r="N8" s="552">
        <v>0.5</v>
      </c>
      <c r="O8" s="551">
        <v>1</v>
      </c>
      <c r="P8" s="552">
        <v>1.1000000000000001</v>
      </c>
      <c r="Q8" s="553">
        <v>0.1</v>
      </c>
      <c r="R8" s="555" t="e">
        <f>SIN(R7)</f>
        <v>#NUM!</v>
      </c>
    </row>
    <row r="9" spans="3:18" ht="13.5" thickBot="1">
      <c r="C9" s="1212" t="s">
        <v>540</v>
      </c>
      <c r="D9" s="1213"/>
      <c r="E9" s="556"/>
      <c r="F9" s="1233" t="s">
        <v>631</v>
      </c>
      <c r="G9" s="1213"/>
      <c r="H9" s="1212" t="s">
        <v>632</v>
      </c>
      <c r="I9" s="1213"/>
      <c r="J9" s="554">
        <f>COS(AA)</f>
        <v>0.99946546467221231</v>
      </c>
      <c r="K9" s="1212" t="s">
        <v>540</v>
      </c>
      <c r="L9" s="1213"/>
      <c r="M9" s="557"/>
      <c r="N9" s="1233" t="s">
        <v>631</v>
      </c>
      <c r="O9" s="1213"/>
      <c r="P9" s="1212" t="s">
        <v>632</v>
      </c>
      <c r="Q9" s="1213"/>
      <c r="R9" s="555" t="e">
        <f>COS(R7)</f>
        <v>#NUM!</v>
      </c>
    </row>
    <row r="10" spans="3:18" ht="38.25">
      <c r="C10" s="282"/>
      <c r="D10" s="283"/>
      <c r="E10" s="558"/>
      <c r="F10" s="254" t="s">
        <v>49</v>
      </c>
      <c r="G10" s="256" t="s">
        <v>50</v>
      </c>
      <c r="H10" s="254" t="s">
        <v>49</v>
      </c>
      <c r="I10" s="256" t="s">
        <v>50</v>
      </c>
      <c r="J10" s="544">
        <f>1-(HT/(RCONC+RCONV))</f>
        <v>0.99407894736842106</v>
      </c>
      <c r="K10" s="282"/>
      <c r="L10" s="283"/>
      <c r="M10" s="559"/>
      <c r="N10" s="254" t="s">
        <v>49</v>
      </c>
      <c r="O10" s="256" t="s">
        <v>50</v>
      </c>
      <c r="P10" s="254" t="s">
        <v>49</v>
      </c>
      <c r="Q10" s="256" t="s">
        <v>50</v>
      </c>
      <c r="R10" s="545">
        <f>1-(K21/(K19+L19))</f>
        <v>0.99961146187469641</v>
      </c>
    </row>
    <row r="11" spans="3:18">
      <c r="C11" s="272"/>
      <c r="D11" s="281"/>
      <c r="E11" s="560" t="s">
        <v>535</v>
      </c>
      <c r="F11" s="561">
        <v>40</v>
      </c>
      <c r="G11" s="216"/>
      <c r="H11" s="561">
        <v>20</v>
      </c>
      <c r="I11" s="216"/>
      <c r="J11" s="544">
        <f>SQRT(1-COSMAX*COSMAX)</f>
        <v>0.10866023375132212</v>
      </c>
      <c r="K11" s="272"/>
      <c r="L11" s="281"/>
      <c r="M11" s="562" t="s">
        <v>535</v>
      </c>
      <c r="N11" s="561">
        <v>40</v>
      </c>
      <c r="O11" s="216"/>
      <c r="P11" s="561">
        <v>20</v>
      </c>
      <c r="Q11" s="216"/>
      <c r="R11" s="545">
        <f>SQRT(1-R10*R10)</f>
        <v>2.7873379571419228E-2</v>
      </c>
    </row>
    <row r="12" spans="3:18">
      <c r="C12" s="272" t="s">
        <v>74</v>
      </c>
      <c r="D12" s="563">
        <f>VIS!C7</f>
        <v>50</v>
      </c>
      <c r="E12" s="560" t="s">
        <v>536</v>
      </c>
      <c r="F12" s="561"/>
      <c r="G12" s="564">
        <f>(D8/3.6)^2/IF(DIST&lt;G13,F13,F14)</f>
        <v>0.21920594837261503</v>
      </c>
      <c r="H12" s="561"/>
      <c r="I12" s="564">
        <f>(D8/3.6)^2/IF(DIST&lt;I13,H13,H14)</f>
        <v>0.30140817901234568</v>
      </c>
      <c r="J12" s="544">
        <f>ATANH(PD/100)</f>
        <v>5.0041729278491313E-2</v>
      </c>
      <c r="K12" s="272" t="s">
        <v>74</v>
      </c>
      <c r="L12" s="563">
        <f>VIS!H7</f>
        <v>120</v>
      </c>
      <c r="M12" s="562" t="s">
        <v>536</v>
      </c>
      <c r="N12" s="561"/>
      <c r="O12" s="564">
        <f>(L8/3.6)^2/IF(K8&lt;O13,N13,N14)</f>
        <v>0.1864280387770321</v>
      </c>
      <c r="P12" s="561"/>
      <c r="Q12" s="564">
        <f>(L8/3.6)^2/IF(K8&lt;Q13,P13,P14)</f>
        <v>7.5947444368497014E-2</v>
      </c>
      <c r="R12" s="545">
        <f>ATANH(M19/100)</f>
        <v>5.0041729278491313E-2</v>
      </c>
    </row>
    <row r="13" spans="3:18">
      <c r="C13" s="214" t="s">
        <v>624</v>
      </c>
      <c r="D13" s="563">
        <f>IF(VIS!D7=0,5,VIS!D7)</f>
        <v>5</v>
      </c>
      <c r="E13" s="560" t="s">
        <v>912</v>
      </c>
      <c r="F13" s="561">
        <f>CEILING(DIST*DIST/(2*(ALT+DIST*SIN(ANG/180*PI()))),10)</f>
        <v>880</v>
      </c>
      <c r="G13" s="565">
        <f>F13*DELTAI/100</f>
        <v>88</v>
      </c>
      <c r="H13" s="561">
        <f>CEILING(DIST*DIST/(2*(_ALT1+_ALT2+2*SQRT(_ALT1*_ALT2))),10)</f>
        <v>640</v>
      </c>
      <c r="I13" s="565">
        <f>H13*DELTAI/100</f>
        <v>64</v>
      </c>
      <c r="J13" s="544">
        <f>ATANH(PCONC/100)</f>
        <v>0</v>
      </c>
      <c r="K13" s="214" t="s">
        <v>624</v>
      </c>
      <c r="L13" s="563">
        <f>IF(VIS!I7=0,5,VIS!I7)</f>
        <v>5</v>
      </c>
      <c r="M13" s="562" t="s">
        <v>912</v>
      </c>
      <c r="N13" s="561">
        <f>CEILING(K8*K8/(2*(N8+K8*SIN(O8/180*PI()))),10)</f>
        <v>5960</v>
      </c>
      <c r="O13" s="565">
        <f>N13*M8/100</f>
        <v>596</v>
      </c>
      <c r="P13" s="561">
        <f>CEILING(K8*K8/(2*(P8+Q8+2*SQRT(P8*Q8))),10)</f>
        <v>14630</v>
      </c>
      <c r="Q13" s="565">
        <f>P13*M8/100</f>
        <v>1463</v>
      </c>
      <c r="R13" s="545">
        <f>ATANH(K23/100)</f>
        <v>0</v>
      </c>
    </row>
    <row r="14" spans="3:18" ht="13.5" thickBot="1">
      <c r="C14" s="279" t="s">
        <v>623</v>
      </c>
      <c r="D14" s="566">
        <f>VIS!F7</f>
        <v>48.529065879811711</v>
      </c>
      <c r="E14" s="567" t="s">
        <v>913</v>
      </c>
      <c r="F14" s="568">
        <f>CEILING(2*100/DELTAI*(DIST-100/DELTAI*(ALT+DIST*SIN(ANG/180*PI()))),10)</f>
        <v>710</v>
      </c>
      <c r="G14" s="569">
        <f>F14*DELTAI/100</f>
        <v>71</v>
      </c>
      <c r="H14" s="568">
        <f>CEILING(2*100/DELTAI*(DIST-100*(_ALT1+_ALT2+2*SQRT(_ALT1*_ALT2))/DELTAI),10)</f>
        <v>600</v>
      </c>
      <c r="I14" s="569">
        <f>H14*DELTAI/100</f>
        <v>60</v>
      </c>
      <c r="J14" s="544">
        <f>ATANH(PCONV/100)</f>
        <v>0</v>
      </c>
      <c r="K14" s="279" t="s">
        <v>623</v>
      </c>
      <c r="L14" s="566">
        <f>VIS!K7</f>
        <v>233.45455430653431</v>
      </c>
      <c r="M14" s="570" t="s">
        <v>913</v>
      </c>
      <c r="N14" s="568">
        <f>CEILING(2*100/M8*(K8-100/M8*(N8+K8*SIN(O8/180*PI()))),10)</f>
        <v>3760</v>
      </c>
      <c r="O14" s="569">
        <f>N14*M8/100</f>
        <v>376</v>
      </c>
      <c r="P14" s="568">
        <f>CEILING(2*100/M8*(K8-100*(P8+Q8+2*SQRT(P8*I314))/M8),10)</f>
        <v>4430</v>
      </c>
      <c r="Q14" s="569">
        <f>P14*M8/100</f>
        <v>443</v>
      </c>
      <c r="R14" s="545">
        <f>ATANH(L23/100)</f>
        <v>0</v>
      </c>
    </row>
    <row r="15" spans="3:18" ht="13.5" thickBot="1">
      <c r="C15" s="183"/>
      <c r="D15" s="183"/>
      <c r="E15" s="183"/>
      <c r="F15" s="183"/>
      <c r="G15" s="183"/>
    </row>
    <row r="16" spans="3:18" ht="13.5" thickBot="1">
      <c r="C16" s="1170" t="s">
        <v>633</v>
      </c>
      <c r="D16" s="1171"/>
      <c r="E16" s="1171"/>
      <c r="F16" s="1171"/>
      <c r="G16" s="1171"/>
      <c r="H16" s="1171"/>
      <c r="I16" s="1172"/>
      <c r="K16" s="1170" t="s">
        <v>634</v>
      </c>
      <c r="L16" s="1171"/>
      <c r="M16" s="1171"/>
      <c r="N16" s="1171"/>
      <c r="O16" s="1171"/>
      <c r="P16" s="1171"/>
      <c r="Q16" s="1172"/>
    </row>
    <row r="17" spans="3:26" s="571" customFormat="1" ht="13.5" thickBot="1">
      <c r="C17" s="1229" t="s">
        <v>0</v>
      </c>
      <c r="D17" s="1230"/>
      <c r="E17" s="1231"/>
      <c r="F17" s="1212" t="s">
        <v>1</v>
      </c>
      <c r="G17" s="1213"/>
      <c r="H17" s="1214" t="s">
        <v>165</v>
      </c>
      <c r="I17" s="1215"/>
      <c r="K17" s="1214" t="s">
        <v>0</v>
      </c>
      <c r="L17" s="1232"/>
      <c r="M17" s="1215"/>
      <c r="N17" s="1212" t="s">
        <v>1</v>
      </c>
      <c r="O17" s="1213"/>
      <c r="P17" s="1214" t="s">
        <v>165</v>
      </c>
      <c r="Q17" s="1215"/>
      <c r="X17" s="181"/>
      <c r="Y17" s="181"/>
      <c r="Z17" s="181"/>
    </row>
    <row r="18" spans="3:26" ht="38.25">
      <c r="C18" s="254" t="s">
        <v>38</v>
      </c>
      <c r="D18" s="255" t="s">
        <v>39</v>
      </c>
      <c r="E18" s="256" t="s">
        <v>40</v>
      </c>
      <c r="F18" s="546" t="s">
        <v>41</v>
      </c>
      <c r="G18" s="283" t="s">
        <v>42</v>
      </c>
      <c r="H18" s="254" t="s">
        <v>163</v>
      </c>
      <c r="I18" s="256" t="s">
        <v>164</v>
      </c>
      <c r="K18" s="254" t="s">
        <v>38</v>
      </c>
      <c r="L18" s="255" t="s">
        <v>39</v>
      </c>
      <c r="M18" s="256" t="s">
        <v>40</v>
      </c>
      <c r="N18" s="282" t="s">
        <v>41</v>
      </c>
      <c r="O18" s="283" t="s">
        <v>42</v>
      </c>
      <c r="P18" s="254" t="s">
        <v>163</v>
      </c>
      <c r="Q18" s="256" t="s">
        <v>164</v>
      </c>
    </row>
    <row r="19" spans="3:26">
      <c r="C19" s="572">
        <f>IF(DIST&lt;G13,F13,IF(DIST&gt;G14,F14,MAX(F13,F14)))</f>
        <v>880</v>
      </c>
      <c r="D19" s="573">
        <f>IF(DIST&lt;I13,H13,IF(DIST&gt;I14,H14,MAX(H13,H14)))</f>
        <v>640</v>
      </c>
      <c r="E19" s="574">
        <f>DELTAI/2</f>
        <v>5</v>
      </c>
      <c r="F19" s="575">
        <f>PD</f>
        <v>5</v>
      </c>
      <c r="G19" s="186">
        <f>-RCONC*SIN(ACONC)-RCONV*SIN(ACONV)+SIN(A)*(RCONC+RCONV)+(HT-(RCONC+RCONV)*(1-COS(A))+RCONC*(1-COS(ACONC))+RCONV*(1-COS(ACONV)))/(PD/100)</f>
        <v>217.97617395321049</v>
      </c>
      <c r="H19" s="576">
        <f>HT/G19</f>
        <v>4.1288916291979179E-2</v>
      </c>
      <c r="I19" s="577">
        <f>F19/H19/100</f>
        <v>1.2109787441845028</v>
      </c>
      <c r="K19" s="572">
        <f>IF(DIST&lt;O13,N13,IF(DIST&gt;O14,N14,MAX(N13,N14)))</f>
        <v>5960</v>
      </c>
      <c r="L19" s="573">
        <f>IF(DIST&lt;Q13,P13,IF(DIST&gt;Q14,P14,MAX(P13,P14)))</f>
        <v>14630</v>
      </c>
      <c r="M19" s="574">
        <f>M8/2</f>
        <v>5</v>
      </c>
      <c r="N19" s="575">
        <f>M19</f>
        <v>5</v>
      </c>
      <c r="O19" s="186">
        <f>-K19*SIN(R13)-L19*SIN(R14)+SIN(R12)*(K19+L19)+(K21-(K19+L19)*(1-COS(R12))+K19*(1-COS(R13))+L19*(1-COS(R14)))/(M19/100)</f>
        <v>674.42725111618711</v>
      </c>
      <c r="P19" s="576">
        <f>K21/O19</f>
        <v>1.1861916888381781E-2</v>
      </c>
      <c r="Q19" s="577">
        <f>N19/P19/100</f>
        <v>4.2151703194761696</v>
      </c>
    </row>
    <row r="20" spans="3:26">
      <c r="C20" s="272" t="s">
        <v>626</v>
      </c>
      <c r="D20" s="273" t="s">
        <v>625</v>
      </c>
      <c r="E20" s="281"/>
      <c r="F20" s="1216" t="s">
        <v>3</v>
      </c>
      <c r="G20" s="1217"/>
      <c r="H20" s="1218"/>
      <c r="I20" s="1219"/>
      <c r="K20" s="272" t="s">
        <v>626</v>
      </c>
      <c r="L20" s="273" t="s">
        <v>625</v>
      </c>
      <c r="M20" s="281"/>
      <c r="N20" s="1216" t="s">
        <v>3</v>
      </c>
      <c r="O20" s="1217"/>
      <c r="P20" s="1218"/>
      <c r="Q20" s="1219"/>
    </row>
    <row r="21" spans="3:26">
      <c r="C21" s="578">
        <v>9</v>
      </c>
      <c r="D21" s="579">
        <v>300</v>
      </c>
      <c r="E21" s="281"/>
      <c r="F21" s="575">
        <f>SINAA/COSAA*100</f>
        <v>3.2709760790329683</v>
      </c>
      <c r="G21" s="278">
        <f>LA</f>
        <v>300</v>
      </c>
      <c r="H21" s="576">
        <f>HT/G21</f>
        <v>0.03</v>
      </c>
      <c r="I21" s="577">
        <f>F21/H21/100</f>
        <v>1.0903253596776561</v>
      </c>
      <c r="K21" s="578">
        <v>8</v>
      </c>
      <c r="L21" s="579">
        <v>500</v>
      </c>
      <c r="M21" s="281"/>
      <c r="N21" s="575" t="e">
        <f>R8/R9*100</f>
        <v>#NUM!</v>
      </c>
      <c r="O21" s="278">
        <f>L21</f>
        <v>500</v>
      </c>
      <c r="P21" s="576">
        <f>K21/O21</f>
        <v>1.6E-2</v>
      </c>
      <c r="Q21" s="577" t="e">
        <f>N21/P21/100</f>
        <v>#NUM!</v>
      </c>
    </row>
    <row r="22" spans="3:26">
      <c r="C22" s="272" t="s">
        <v>627</v>
      </c>
      <c r="D22" s="273" t="s">
        <v>628</v>
      </c>
      <c r="E22" s="281"/>
      <c r="F22" s="1216" t="s">
        <v>2</v>
      </c>
      <c r="G22" s="1217"/>
      <c r="H22" s="1218"/>
      <c r="I22" s="1219"/>
      <c r="K22" s="272" t="s">
        <v>627</v>
      </c>
      <c r="L22" s="273" t="s">
        <v>628</v>
      </c>
      <c r="M22" s="281"/>
      <c r="N22" s="1216" t="s">
        <v>2</v>
      </c>
      <c r="O22" s="1217"/>
      <c r="P22" s="1218"/>
      <c r="Q22" s="1219"/>
    </row>
    <row r="23" spans="3:26" ht="13.5" thickBot="1">
      <c r="C23" s="552">
        <v>0</v>
      </c>
      <c r="D23" s="260">
        <v>0</v>
      </c>
      <c r="E23" s="580"/>
      <c r="F23" s="581">
        <f>SINMAX/COSMAX*100</f>
        <v>10.930744890933793</v>
      </c>
      <c r="G23" s="265">
        <f>SINMAX*(RCONC+RCONV)</f>
        <v>165.16355530200963</v>
      </c>
      <c r="H23" s="582">
        <f>HT/G23</f>
        <v>5.4491440218412956E-2</v>
      </c>
      <c r="I23" s="583">
        <f>F23/H23/100</f>
        <v>2.0059563203176696</v>
      </c>
      <c r="K23" s="552">
        <v>0</v>
      </c>
      <c r="L23" s="260">
        <v>0</v>
      </c>
      <c r="M23" s="580"/>
      <c r="N23" s="581">
        <f>R11/R10*100</f>
        <v>2.7884213651516951</v>
      </c>
      <c r="O23" s="265">
        <f>R11*(K19+L19)</f>
        <v>573.91288537552191</v>
      </c>
      <c r="P23" s="582">
        <f>K21/O23</f>
        <v>1.3939397779447749E-2</v>
      </c>
      <c r="Q23" s="583">
        <f>N23/P23/100</f>
        <v>2.0003886891462015</v>
      </c>
    </row>
    <row r="24" spans="3:26" ht="13.5" thickBot="1"/>
    <row r="25" spans="3:26" ht="13.5" thickBot="1">
      <c r="C25" s="1210" t="s">
        <v>310</v>
      </c>
      <c r="D25" s="1211"/>
    </row>
    <row r="26" spans="3:26">
      <c r="C26" s="254" t="s">
        <v>74</v>
      </c>
      <c r="D26" s="256" t="s">
        <v>889</v>
      </c>
    </row>
    <row r="27" spans="3:26">
      <c r="C27" s="584">
        <v>120</v>
      </c>
      <c r="D27" s="186">
        <f>(C27/3.6)^2/0.6</f>
        <v>1851.8518518518522</v>
      </c>
    </row>
    <row r="28" spans="3:26" ht="13.5" thickBot="1">
      <c r="C28" s="585">
        <f>3.6*SQRT(D28*0.6)</f>
        <v>124.70765814495918</v>
      </c>
      <c r="D28" s="586">
        <v>2000</v>
      </c>
    </row>
    <row r="29" spans="3:26" ht="13.5" thickBot="1"/>
    <row r="30" spans="3:26" ht="13.5" thickBot="1">
      <c r="C30" s="1220" t="s">
        <v>942</v>
      </c>
      <c r="D30" s="1221"/>
      <c r="E30" s="1222"/>
      <c r="F30" s="1220" t="s">
        <v>271</v>
      </c>
      <c r="G30" s="1221"/>
      <c r="H30" s="1221"/>
      <c r="I30" s="1222"/>
    </row>
    <row r="31" spans="3:26" ht="45">
      <c r="C31" s="587" t="s">
        <v>943</v>
      </c>
      <c r="D31" s="588" t="s">
        <v>273</v>
      </c>
      <c r="E31" s="589" t="s">
        <v>272</v>
      </c>
      <c r="F31" s="587" t="s">
        <v>267</v>
      </c>
      <c r="G31" s="588" t="s">
        <v>268</v>
      </c>
      <c r="H31" s="588" t="s">
        <v>266</v>
      </c>
      <c r="I31" s="589" t="s">
        <v>269</v>
      </c>
    </row>
    <row r="32" spans="3:26">
      <c r="C32" s="578">
        <v>125.5</v>
      </c>
      <c r="D32" s="590">
        <v>1.5</v>
      </c>
      <c r="E32" s="591">
        <f>ACOS((C32-D32)/C32)/PI()*180</f>
        <v>8.8673716711990505</v>
      </c>
      <c r="F32" s="595">
        <v>5</v>
      </c>
      <c r="G32" s="590">
        <v>-2.5</v>
      </c>
      <c r="H32" s="590">
        <f>E32</f>
        <v>8.8673716711990505</v>
      </c>
      <c r="I32" s="591">
        <f>F32+G32*SIN(H32/180*PI())</f>
        <v>4.6146306350168711</v>
      </c>
    </row>
    <row r="33" spans="3:9" ht="13.5" thickBot="1">
      <c r="C33" s="592" t="s">
        <v>221</v>
      </c>
      <c r="D33" s="593" t="s">
        <v>221</v>
      </c>
      <c r="E33" s="594" t="s">
        <v>270</v>
      </c>
      <c r="F33" s="592" t="s">
        <v>56</v>
      </c>
      <c r="G33" s="593" t="s">
        <v>56</v>
      </c>
      <c r="H33" s="593" t="s">
        <v>270</v>
      </c>
      <c r="I33" s="594" t="s">
        <v>56</v>
      </c>
    </row>
    <row r="34" spans="3:9" ht="13.5" thickBot="1"/>
    <row r="35" spans="3:9" ht="13.5" thickBot="1">
      <c r="C35" s="1223" t="s">
        <v>941</v>
      </c>
      <c r="D35" s="1224"/>
      <c r="E35" s="1224"/>
      <c r="F35" s="1225"/>
    </row>
    <row r="36" spans="3:9" ht="38.25">
      <c r="C36" s="254" t="s">
        <v>47</v>
      </c>
      <c r="D36" s="256" t="s">
        <v>48</v>
      </c>
      <c r="E36" s="596" t="s">
        <v>44</v>
      </c>
      <c r="F36" s="256" t="s">
        <v>46</v>
      </c>
    </row>
    <row r="37" spans="3:9" ht="13.5" thickBot="1">
      <c r="C37" s="1226" t="s">
        <v>629</v>
      </c>
      <c r="D37" s="1227"/>
      <c r="E37" s="1228" t="s">
        <v>630</v>
      </c>
      <c r="F37" s="1227"/>
    </row>
    <row r="38" spans="3:9">
      <c r="C38" s="597">
        <v>0.5</v>
      </c>
      <c r="D38" s="598">
        <v>1</v>
      </c>
      <c r="E38" s="597">
        <v>1.1000000000000001</v>
      </c>
      <c r="F38" s="599">
        <v>0.1</v>
      </c>
    </row>
    <row r="39" spans="3:9">
      <c r="C39" s="600" t="s">
        <v>636</v>
      </c>
      <c r="D39" s="601" t="s">
        <v>637</v>
      </c>
      <c r="E39" s="600" t="s">
        <v>636</v>
      </c>
      <c r="F39" s="601" t="s">
        <v>637</v>
      </c>
    </row>
    <row r="40" spans="3:9" ht="13.5" thickBot="1">
      <c r="C40" s="602">
        <v>3000</v>
      </c>
      <c r="D40" s="603">
        <f>((2*C40*SIN(D38/180*PI()))+SQRT(4*C40^2*(SIN(D38/180*PI()))^2+8*C38*C40))/2</f>
        <v>128.12844349405057</v>
      </c>
      <c r="E40" s="602">
        <v>4000</v>
      </c>
      <c r="F40" s="604">
        <f>SQRT((E40+E38)^2-E40^2)+SQRT((E40+F38)^2-E40^2)</f>
        <v>122.09921232005382</v>
      </c>
    </row>
    <row r="41" spans="3:9" ht="13.5" thickBot="1">
      <c r="D41" s="605">
        <f>((2*C40*TAN(D38/180*PI()))+SQRT((2*C38*TAN(D38/180*PI())-2*C40*TAN(D38/180*PI()))^2-4*(1+(TAN(D38/180*PI()))^2)*(C38^2-2*C40*C38)))/(2*(1+(TAN(D38/180*PI()))^2))</f>
        <v>128.10125076544102</v>
      </c>
    </row>
    <row r="58" spans="3:13" ht="13.5" thickBot="1"/>
    <row r="59" spans="3:13">
      <c r="C59" s="1205" t="s">
        <v>788</v>
      </c>
      <c r="D59" s="1206"/>
      <c r="E59" s="1206"/>
      <c r="F59" s="1206"/>
      <c r="G59" s="1206"/>
      <c r="H59" s="1206"/>
      <c r="I59" s="1206"/>
      <c r="J59" s="1206"/>
      <c r="K59" s="1206"/>
      <c r="L59" s="1206"/>
      <c r="M59" s="1207"/>
    </row>
    <row r="60" spans="3:13">
      <c r="C60" s="479" t="s">
        <v>786</v>
      </c>
      <c r="D60" s="606">
        <v>0.05</v>
      </c>
      <c r="E60" s="607" t="s">
        <v>106</v>
      </c>
      <c r="F60" s="608">
        <v>8</v>
      </c>
      <c r="G60" s="215"/>
      <c r="H60" s="215"/>
      <c r="I60" s="215"/>
      <c r="J60" s="215"/>
      <c r="K60" s="215"/>
      <c r="L60" s="215"/>
      <c r="M60" s="216"/>
    </row>
    <row r="61" spans="3:13">
      <c r="C61" s="214" t="s">
        <v>808</v>
      </c>
      <c r="D61" s="215" t="s">
        <v>401</v>
      </c>
      <c r="E61" s="215" t="s">
        <v>402</v>
      </c>
      <c r="F61" s="215" t="s">
        <v>809</v>
      </c>
      <c r="G61" s="215" t="s">
        <v>810</v>
      </c>
      <c r="H61" s="215" t="s">
        <v>811</v>
      </c>
      <c r="I61" s="607" t="s">
        <v>801</v>
      </c>
      <c r="J61" s="215" t="s">
        <v>812</v>
      </c>
      <c r="K61" s="215" t="s">
        <v>813</v>
      </c>
      <c r="L61" s="215" t="s">
        <v>814</v>
      </c>
      <c r="M61" s="216" t="s">
        <v>106</v>
      </c>
    </row>
    <row r="62" spans="3:13">
      <c r="C62" s="214" t="s">
        <v>802</v>
      </c>
      <c r="D62" s="609">
        <v>250</v>
      </c>
      <c r="E62" s="609">
        <v>500</v>
      </c>
      <c r="F62" s="610">
        <f t="shared" ref="F62:F67" si="0">$D62*SIN(ATAN($D$60))</f>
        <v>12.484404235973059</v>
      </c>
      <c r="G62" s="610">
        <f t="shared" ref="G62:G67" si="1">(F$60-($D62+$E62)*(1-COS(ATAN($D$60))))/$D$60</f>
        <v>141.28508316766971</v>
      </c>
      <c r="H62" s="610">
        <f t="shared" ref="H62:H67" si="2">$E62*SIN(ATAN($D$60))</f>
        <v>24.968808471946119</v>
      </c>
      <c r="I62" s="611">
        <f t="shared" ref="I62:I67" si="3">$D62*SIN(ATAN($D$60))+(F$60-($D62+$E62)*(1-COS(ATAN($D$60))))/$D$60+$E62*SIN(ATAN($D$60))</f>
        <v>178.73829587558888</v>
      </c>
      <c r="J62" s="610">
        <f t="shared" ref="J62:J67" si="4">$D62*(1-COS(ATAN($D$60)))</f>
        <v>0.3119152805388381</v>
      </c>
      <c r="K62" s="610">
        <f t="shared" ref="K62:K67" si="5">G62*$D$60</f>
        <v>7.0642541583834859</v>
      </c>
      <c r="L62" s="610">
        <f t="shared" ref="L62:L67" si="6">$E62*(1-COS(ATAN($D$60)))</f>
        <v>0.6238305610776762</v>
      </c>
      <c r="M62" s="612">
        <f t="shared" ref="M62:M67" si="7">SUM(J62:L62)</f>
        <v>8</v>
      </c>
    </row>
    <row r="63" spans="3:13">
      <c r="C63" s="214" t="s">
        <v>803</v>
      </c>
      <c r="D63" s="609">
        <v>500</v>
      </c>
      <c r="E63" s="609">
        <v>1000</v>
      </c>
      <c r="F63" s="610">
        <f t="shared" si="0"/>
        <v>24.968808471946119</v>
      </c>
      <c r="G63" s="610">
        <f t="shared" si="1"/>
        <v>122.57016633533944</v>
      </c>
      <c r="H63" s="610">
        <f t="shared" si="2"/>
        <v>49.937616943892237</v>
      </c>
      <c r="I63" s="611">
        <f t="shared" si="3"/>
        <v>197.47659175117781</v>
      </c>
      <c r="J63" s="610">
        <f t="shared" si="4"/>
        <v>0.6238305610776762</v>
      </c>
      <c r="K63" s="610">
        <f t="shared" si="5"/>
        <v>6.1285083167669718</v>
      </c>
      <c r="L63" s="610">
        <f t="shared" si="6"/>
        <v>1.2476611221553524</v>
      </c>
      <c r="M63" s="612">
        <f t="shared" si="7"/>
        <v>8</v>
      </c>
    </row>
    <row r="64" spans="3:13">
      <c r="C64" s="214" t="s">
        <v>804</v>
      </c>
      <c r="D64" s="609">
        <v>750</v>
      </c>
      <c r="E64" s="609">
        <v>1500</v>
      </c>
      <c r="F64" s="610">
        <f t="shared" si="0"/>
        <v>37.453212707919178</v>
      </c>
      <c r="G64" s="610">
        <f t="shared" si="1"/>
        <v>103.85524950300913</v>
      </c>
      <c r="H64" s="610">
        <f t="shared" si="2"/>
        <v>74.906425415838356</v>
      </c>
      <c r="I64" s="611">
        <f t="shared" si="3"/>
        <v>216.21488762676668</v>
      </c>
      <c r="J64" s="610">
        <f t="shared" si="4"/>
        <v>0.93574584161651431</v>
      </c>
      <c r="K64" s="610">
        <f t="shared" si="5"/>
        <v>5.1927624751504569</v>
      </c>
      <c r="L64" s="610">
        <f t="shared" si="6"/>
        <v>1.8714916832330286</v>
      </c>
      <c r="M64" s="612">
        <f t="shared" si="7"/>
        <v>8</v>
      </c>
    </row>
    <row r="65" spans="3:26">
      <c r="C65" s="214" t="s">
        <v>805</v>
      </c>
      <c r="D65" s="609">
        <v>1000</v>
      </c>
      <c r="E65" s="609">
        <v>2000</v>
      </c>
      <c r="F65" s="610">
        <f t="shared" si="0"/>
        <v>49.937616943892237</v>
      </c>
      <c r="G65" s="610">
        <f t="shared" si="1"/>
        <v>85.140332670678845</v>
      </c>
      <c r="H65" s="610">
        <f t="shared" si="2"/>
        <v>99.875233887784475</v>
      </c>
      <c r="I65" s="611">
        <f t="shared" si="3"/>
        <v>234.95318350235556</v>
      </c>
      <c r="J65" s="610">
        <f t="shared" si="4"/>
        <v>1.2476611221553524</v>
      </c>
      <c r="K65" s="610">
        <f t="shared" si="5"/>
        <v>4.2570166335339428</v>
      </c>
      <c r="L65" s="610">
        <f t="shared" si="6"/>
        <v>2.4953222443107048</v>
      </c>
      <c r="M65" s="612">
        <f t="shared" si="7"/>
        <v>8</v>
      </c>
    </row>
    <row r="66" spans="3:26">
      <c r="C66" s="214" t="s">
        <v>806</v>
      </c>
      <c r="D66" s="609">
        <v>1400</v>
      </c>
      <c r="E66" s="609">
        <v>2800</v>
      </c>
      <c r="F66" s="610">
        <f t="shared" si="0"/>
        <v>69.912663721449135</v>
      </c>
      <c r="G66" s="610">
        <f t="shared" si="1"/>
        <v>55.196465738950394</v>
      </c>
      <c r="H66" s="610">
        <f t="shared" si="2"/>
        <v>139.82532744289827</v>
      </c>
      <c r="I66" s="611">
        <f t="shared" si="3"/>
        <v>264.93445690329781</v>
      </c>
      <c r="J66" s="610">
        <f t="shared" si="4"/>
        <v>1.7467255710174934</v>
      </c>
      <c r="K66" s="610">
        <f t="shared" si="5"/>
        <v>2.7598232869475199</v>
      </c>
      <c r="L66" s="610">
        <f t="shared" si="6"/>
        <v>3.4934511420349867</v>
      </c>
      <c r="M66" s="612">
        <f t="shared" si="7"/>
        <v>8</v>
      </c>
      <c r="Z66" s="193">
        <f t="shared" ref="Z66:Z71" si="8">F62+G62+H62</f>
        <v>178.73829587558888</v>
      </c>
    </row>
    <row r="67" spans="3:26" ht="13.5" thickBot="1">
      <c r="C67" s="592" t="s">
        <v>807</v>
      </c>
      <c r="D67" s="613">
        <v>2000</v>
      </c>
      <c r="E67" s="613">
        <v>4000</v>
      </c>
      <c r="F67" s="614">
        <f t="shared" si="0"/>
        <v>99.875233887784475</v>
      </c>
      <c r="G67" s="614">
        <f t="shared" si="1"/>
        <v>10.280665341357711</v>
      </c>
      <c r="H67" s="614">
        <f t="shared" si="2"/>
        <v>199.75046777556895</v>
      </c>
      <c r="I67" s="615">
        <f t="shared" si="3"/>
        <v>309.90636700471111</v>
      </c>
      <c r="J67" s="614">
        <f t="shared" si="4"/>
        <v>2.4953222443107048</v>
      </c>
      <c r="K67" s="614">
        <f t="shared" si="5"/>
        <v>0.51403326706788555</v>
      </c>
      <c r="L67" s="614">
        <f t="shared" si="6"/>
        <v>4.9906444886214096</v>
      </c>
      <c r="M67" s="616">
        <f t="shared" si="7"/>
        <v>8</v>
      </c>
      <c r="Z67" s="193">
        <f t="shared" si="8"/>
        <v>197.47659175117781</v>
      </c>
    </row>
    <row r="68" spans="3:26" ht="13.5" thickBot="1">
      <c r="Z68" s="193">
        <f t="shared" si="8"/>
        <v>216.21488762676668</v>
      </c>
    </row>
    <row r="69" spans="3:26">
      <c r="C69" s="1187" t="s">
        <v>258</v>
      </c>
      <c r="D69" s="1188"/>
      <c r="E69" s="1188"/>
      <c r="F69" s="1188"/>
      <c r="G69" s="1189"/>
      <c r="Z69" s="193">
        <f t="shared" si="8"/>
        <v>234.95318350235556</v>
      </c>
    </row>
    <row r="70" spans="3:26">
      <c r="C70" s="214" t="s">
        <v>180</v>
      </c>
      <c r="D70" s="215" t="s">
        <v>255</v>
      </c>
      <c r="E70" s="215" t="s">
        <v>256</v>
      </c>
      <c r="F70" s="215" t="s">
        <v>261</v>
      </c>
      <c r="G70" s="216" t="s">
        <v>260</v>
      </c>
      <c r="Z70" s="193">
        <f t="shared" si="8"/>
        <v>264.93445690329781</v>
      </c>
    </row>
    <row r="71" spans="3:26">
      <c r="C71" s="584">
        <v>5000</v>
      </c>
      <c r="D71" s="276">
        <v>0.60070000000000001</v>
      </c>
      <c r="E71" s="276">
        <v>0.1099</v>
      </c>
      <c r="F71" s="617">
        <v>6637.63</v>
      </c>
      <c r="G71" s="618">
        <v>133.43</v>
      </c>
      <c r="Z71" s="193">
        <f t="shared" si="8"/>
        <v>309.90636700471111</v>
      </c>
    </row>
    <row r="72" spans="3:26">
      <c r="C72" s="214" t="s">
        <v>257</v>
      </c>
      <c r="D72" s="619">
        <f>-(D71-E71)/100</f>
        <v>-4.908E-3</v>
      </c>
      <c r="E72" s="215" t="s">
        <v>262</v>
      </c>
      <c r="F72" s="620">
        <f>F71-D74</f>
        <v>6625.36</v>
      </c>
      <c r="G72" s="621">
        <f>G71-D74*D71/100</f>
        <v>133.35629410999999</v>
      </c>
    </row>
    <row r="73" spans="3:26">
      <c r="C73" s="214" t="s">
        <v>259</v>
      </c>
      <c r="D73" s="622">
        <f>C71/8*(ABS(D71-E71)/100)^2</f>
        <v>1.5055289999999999E-2</v>
      </c>
      <c r="E73" s="215" t="s">
        <v>263</v>
      </c>
      <c r="F73" s="620">
        <f>F71+D74</f>
        <v>6649.9000000000005</v>
      </c>
      <c r="G73" s="621">
        <f>G71+D74*E71/100</f>
        <v>133.44348472999999</v>
      </c>
    </row>
    <row r="74" spans="3:26">
      <c r="C74" s="214" t="s">
        <v>196</v>
      </c>
      <c r="D74" s="622">
        <f>C71/2*ABS(D71-E71)/100</f>
        <v>12.27</v>
      </c>
      <c r="E74" s="623"/>
      <c r="F74" s="623"/>
      <c r="G74" s="624"/>
    </row>
    <row r="75" spans="3:26" ht="13.5" thickBot="1">
      <c r="C75" s="592" t="s">
        <v>192</v>
      </c>
      <c r="D75" s="625">
        <f>D74*2</f>
        <v>24.54</v>
      </c>
      <c r="E75" s="626"/>
      <c r="F75" s="626"/>
      <c r="G75" s="627"/>
    </row>
    <row r="76" spans="3:26" ht="13.5" thickBot="1"/>
    <row r="77" spans="3:26">
      <c r="C77" s="1208" t="s">
        <v>413</v>
      </c>
      <c r="D77" s="1209"/>
    </row>
    <row r="78" spans="3:26">
      <c r="C78" s="214" t="s">
        <v>18</v>
      </c>
      <c r="D78" s="216" t="s">
        <v>412</v>
      </c>
    </row>
    <row r="79" spans="3:26">
      <c r="C79" s="214">
        <v>25</v>
      </c>
      <c r="D79" s="628">
        <v>150</v>
      </c>
    </row>
    <row r="80" spans="3:26">
      <c r="C80" s="214">
        <v>40</v>
      </c>
      <c r="D80" s="628">
        <v>180</v>
      </c>
    </row>
    <row r="81" spans="3:10">
      <c r="C81" s="214">
        <v>50</v>
      </c>
      <c r="D81" s="628">
        <v>220</v>
      </c>
    </row>
    <row r="82" spans="3:10">
      <c r="C82" s="214">
        <v>60</v>
      </c>
      <c r="D82" s="628">
        <v>280</v>
      </c>
    </row>
    <row r="83" spans="3:10">
      <c r="C83" s="214">
        <v>70</v>
      </c>
      <c r="D83" s="628">
        <v>350</v>
      </c>
      <c r="E83" s="271"/>
    </row>
    <row r="84" spans="3:10">
      <c r="C84" s="214">
        <v>80</v>
      </c>
      <c r="D84" s="628">
        <v>420</v>
      </c>
      <c r="E84" s="271"/>
    </row>
    <row r="85" spans="3:10">
      <c r="C85" s="214">
        <v>90</v>
      </c>
      <c r="D85" s="628">
        <v>500</v>
      </c>
      <c r="E85" s="271"/>
    </row>
    <row r="86" spans="3:10">
      <c r="C86" s="214">
        <v>100</v>
      </c>
      <c r="D86" s="628">
        <v>560</v>
      </c>
      <c r="E86" s="271"/>
    </row>
    <row r="87" spans="3:10">
      <c r="C87" s="214">
        <v>110</v>
      </c>
      <c r="D87" s="628">
        <v>640</v>
      </c>
      <c r="E87" s="271"/>
    </row>
    <row r="88" spans="3:10">
      <c r="C88" s="214">
        <v>120</v>
      </c>
      <c r="D88" s="628">
        <v>720</v>
      </c>
      <c r="E88" s="271"/>
      <c r="H88" s="629"/>
      <c r="I88" s="629"/>
      <c r="J88" s="629"/>
    </row>
    <row r="89" spans="3:10">
      <c r="C89" s="214">
        <v>130</v>
      </c>
      <c r="D89" s="628">
        <v>800</v>
      </c>
      <c r="E89" s="271"/>
      <c r="H89" s="183"/>
      <c r="I89" s="183"/>
      <c r="J89" s="183"/>
    </row>
    <row r="90" spans="3:10">
      <c r="C90" s="214">
        <v>140</v>
      </c>
      <c r="D90" s="628">
        <v>860</v>
      </c>
      <c r="E90" s="271"/>
      <c r="J90" s="183"/>
    </row>
    <row r="91" spans="3:10">
      <c r="C91" s="214">
        <v>150</v>
      </c>
      <c r="D91" s="628">
        <v>930</v>
      </c>
      <c r="E91" s="271"/>
      <c r="J91" s="630"/>
    </row>
    <row r="92" spans="3:10" ht="13.5" thickBot="1">
      <c r="C92" s="592">
        <v>160</v>
      </c>
      <c r="D92" s="631">
        <v>1000</v>
      </c>
      <c r="E92" s="271"/>
      <c r="J92" s="630"/>
    </row>
    <row r="93" spans="3:10">
      <c r="E93" s="271"/>
      <c r="J93" s="630"/>
    </row>
    <row r="94" spans="3:10">
      <c r="C94" s="182"/>
      <c r="D94" s="632"/>
      <c r="E94" s="271"/>
      <c r="J94" s="183"/>
    </row>
    <row r="95" spans="3:10">
      <c r="J95" s="183"/>
    </row>
    <row r="96" spans="3:10">
      <c r="C96" s="633"/>
      <c r="J96" s="630"/>
    </row>
    <row r="97" spans="3:9">
      <c r="C97" s="634"/>
      <c r="H97" s="271"/>
      <c r="I97" s="182"/>
    </row>
    <row r="98" spans="3:9">
      <c r="C98" s="634"/>
      <c r="H98" s="271"/>
      <c r="I98" s="182"/>
    </row>
    <row r="99" spans="3:9">
      <c r="C99" s="634"/>
      <c r="H99" s="271"/>
      <c r="I99" s="182"/>
    </row>
    <row r="100" spans="3:9">
      <c r="H100" s="271"/>
      <c r="I100" s="182"/>
    </row>
    <row r="101" spans="3:9">
      <c r="H101" s="271"/>
      <c r="I101" s="182"/>
    </row>
    <row r="102" spans="3:9">
      <c r="H102" s="271"/>
      <c r="I102" s="182"/>
    </row>
  </sheetData>
  <mergeCells count="40">
    <mergeCell ref="K5:Q5"/>
    <mergeCell ref="K9:L9"/>
    <mergeCell ref="K6:M6"/>
    <mergeCell ref="C9:D9"/>
    <mergeCell ref="H22:I22"/>
    <mergeCell ref="H17:I17"/>
    <mergeCell ref="H20:I20"/>
    <mergeCell ref="F17:G17"/>
    <mergeCell ref="F22:G22"/>
    <mergeCell ref="F20:G20"/>
    <mergeCell ref="H9:I9"/>
    <mergeCell ref="F9:G9"/>
    <mergeCell ref="H6:I6"/>
    <mergeCell ref="C5:I5"/>
    <mergeCell ref="N22:O22"/>
    <mergeCell ref="C6:E6"/>
    <mergeCell ref="K16:Q16"/>
    <mergeCell ref="C17:E17"/>
    <mergeCell ref="K17:M17"/>
    <mergeCell ref="C16:I16"/>
    <mergeCell ref="N6:O6"/>
    <mergeCell ref="P6:Q6"/>
    <mergeCell ref="N9:O9"/>
    <mergeCell ref="P9:Q9"/>
    <mergeCell ref="C3:Q3"/>
    <mergeCell ref="C77:D77"/>
    <mergeCell ref="C25:D25"/>
    <mergeCell ref="N17:O17"/>
    <mergeCell ref="P17:Q17"/>
    <mergeCell ref="N20:O20"/>
    <mergeCell ref="P20:Q20"/>
    <mergeCell ref="F30:I30"/>
    <mergeCell ref="C69:G69"/>
    <mergeCell ref="C30:E30"/>
    <mergeCell ref="C35:F35"/>
    <mergeCell ref="C37:D37"/>
    <mergeCell ref="P22:Q22"/>
    <mergeCell ref="E37:F37"/>
    <mergeCell ref="C59:M59"/>
    <mergeCell ref="F6:G6"/>
  </mergeCells>
  <phoneticPr fontId="0" type="noConversion"/>
  <conditionalFormatting sqref="J5">
    <cfRule type="cellIs" dxfId="37" priority="44" stopIfTrue="1" operator="lessThan">
      <formula>0</formula>
    </cfRule>
  </conditionalFormatting>
  <conditionalFormatting sqref="G21 O21">
    <cfRule type="cellIs" dxfId="36" priority="45" stopIfTrue="1" operator="lessThan">
      <formula>$G$23</formula>
    </cfRule>
  </conditionalFormatting>
  <conditionalFormatting sqref="F23 N23">
    <cfRule type="cellIs" dxfId="35" priority="46" stopIfTrue="1" operator="lessThan">
      <formula>$F$19</formula>
    </cfRule>
    <cfRule type="cellIs" dxfId="34" priority="47" stopIfTrue="1" operator="greaterThan">
      <formula>$F$19</formula>
    </cfRule>
  </conditionalFormatting>
  <conditionalFormatting sqref="F19 N19">
    <cfRule type="cellIs" dxfId="33" priority="48" stopIfTrue="1" operator="lessThan">
      <formula>$F$23</formula>
    </cfRule>
    <cfRule type="cellIs" dxfId="32" priority="49" stopIfTrue="1" operator="greaterThan">
      <formula>$F$23</formula>
    </cfRule>
  </conditionalFormatting>
  <conditionalFormatting sqref="G12">
    <cfRule type="cellIs" dxfId="31" priority="24" operator="greaterThanOrEqual">
      <formula>0.6</formula>
    </cfRule>
    <cfRule type="cellIs" dxfId="30" priority="35" operator="lessThan">
      <formula>0.6</formula>
    </cfRule>
  </conditionalFormatting>
  <conditionalFormatting sqref="G11">
    <cfRule type="expression" dxfId="29" priority="17">
      <formula>F11&gt;MAX(F13:F14)</formula>
    </cfRule>
    <cfRule type="expression" dxfId="28" priority="26">
      <formula>F11&lt;MIN(F13:F14)</formula>
    </cfRule>
  </conditionalFormatting>
  <conditionalFormatting sqref="I12">
    <cfRule type="cellIs" dxfId="27" priority="22" operator="greaterThanOrEqual">
      <formula>0.6</formula>
    </cfRule>
    <cfRule type="cellIs" dxfId="26" priority="23" operator="lessThan">
      <formula>0.6</formula>
    </cfRule>
  </conditionalFormatting>
  <conditionalFormatting sqref="O12">
    <cfRule type="cellIs" dxfId="25" priority="20" operator="greaterThanOrEqual">
      <formula>0.6</formula>
    </cfRule>
    <cfRule type="cellIs" dxfId="24" priority="21" operator="lessThan">
      <formula>0.6</formula>
    </cfRule>
  </conditionalFormatting>
  <conditionalFormatting sqref="Q12">
    <cfRule type="cellIs" dxfId="23" priority="18" operator="greaterThanOrEqual">
      <formula>0.6</formula>
    </cfRule>
    <cfRule type="cellIs" dxfId="22" priority="19" operator="lessThan">
      <formula>0.6</formula>
    </cfRule>
  </conditionalFormatting>
  <conditionalFormatting sqref="I11">
    <cfRule type="expression" dxfId="21" priority="15">
      <formula>H11&gt;MAX(H13:H14)</formula>
    </cfRule>
    <cfRule type="expression" dxfId="20" priority="16">
      <formula>H11&lt;MIN(H13:H14)</formula>
    </cfRule>
  </conditionalFormatting>
  <conditionalFormatting sqref="O11">
    <cfRule type="expression" dxfId="19" priority="13">
      <formula>N11&gt;MAX(N13:N14)</formula>
    </cfRule>
    <cfRule type="expression" dxfId="18" priority="14">
      <formula>N11&lt;MIN(N13:N14)</formula>
    </cfRule>
  </conditionalFormatting>
  <conditionalFormatting sqref="Q11">
    <cfRule type="expression" dxfId="17" priority="11">
      <formula>P11&gt;MAX(P13:P14)</formula>
    </cfRule>
    <cfRule type="expression" dxfId="16" priority="12">
      <formula>P11&lt;MIN(P13:P14)</formula>
    </cfRule>
  </conditionalFormatting>
  <conditionalFormatting sqref="R5">
    <cfRule type="cellIs" dxfId="15" priority="5" stopIfTrue="1" operator="lessThan">
      <formula>0</formula>
    </cfRule>
  </conditionalFormatting>
  <conditionalFormatting sqref="I13 G13">
    <cfRule type="cellIs" dxfId="14" priority="40" stopIfTrue="1" operator="lessThan">
      <formula>$C$8</formula>
    </cfRule>
    <cfRule type="cellIs" dxfId="13" priority="41" stopIfTrue="1" operator="greaterThan">
      <formula>$C$8</formula>
    </cfRule>
  </conditionalFormatting>
  <conditionalFormatting sqref="I14 G14">
    <cfRule type="cellIs" dxfId="12" priority="42" stopIfTrue="1" operator="greaterThan">
      <formula>$C$8</formula>
    </cfRule>
    <cfRule type="cellIs" dxfId="11" priority="43" stopIfTrue="1" operator="lessThan">
      <formula>$C$8</formula>
    </cfRule>
  </conditionalFormatting>
  <conditionalFormatting sqref="O13 Q13">
    <cfRule type="cellIs" dxfId="10" priority="3" stopIfTrue="1" operator="lessThan">
      <formula>$K$8</formula>
    </cfRule>
    <cfRule type="cellIs" dxfId="9" priority="4" stopIfTrue="1" operator="greaterThan">
      <formula>$K$8</formula>
    </cfRule>
  </conditionalFormatting>
  <conditionalFormatting sqref="O14 Q14">
    <cfRule type="cellIs" dxfId="8" priority="1" stopIfTrue="1" operator="greaterThan">
      <formula>$K$8</formula>
    </cfRule>
    <cfRule type="cellIs" dxfId="7" priority="2" stopIfTrue="1" operator="lessThan">
      <formula>$K$8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8"/>
  <dimension ref="C1:O40"/>
  <sheetViews>
    <sheetView zoomScaleNormal="100" workbookViewId="0">
      <selection activeCell="F27" sqref="F27"/>
    </sheetView>
  </sheetViews>
  <sheetFormatPr defaultColWidth="12.85546875" defaultRowHeight="12.75"/>
  <cols>
    <col min="1" max="2" width="3.28515625" style="181" customWidth="1"/>
    <col min="3" max="16384" width="12.85546875" style="181"/>
  </cols>
  <sheetData>
    <row r="1" spans="3:7" ht="13.5" thickBot="1">
      <c r="C1" s="803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2" spans="3:7" ht="13.5" thickBot="1"/>
    <row r="3" spans="3:7" ht="13.5" thickBot="1">
      <c r="C3" s="1173" t="s">
        <v>890</v>
      </c>
      <c r="D3" s="1174"/>
      <c r="E3" s="1174"/>
      <c r="F3" s="1175"/>
    </row>
    <row r="4" spans="3:7" ht="13.5" thickBot="1"/>
    <row r="5" spans="3:7" ht="13.5" thickBot="1">
      <c r="C5" s="1173" t="s">
        <v>895</v>
      </c>
      <c r="D5" s="1174"/>
      <c r="E5" s="1174"/>
      <c r="F5" s="1175"/>
    </row>
    <row r="6" spans="3:7" ht="13.5" thickBot="1"/>
    <row r="7" spans="3:7" ht="13.5" thickBot="1">
      <c r="C7" s="1193" t="s">
        <v>915</v>
      </c>
      <c r="D7" s="1194"/>
    </row>
    <row r="8" spans="3:7" ht="13.5" thickBot="1"/>
    <row r="9" spans="3:7">
      <c r="C9" s="284" t="s">
        <v>66</v>
      </c>
      <c r="D9" s="635" t="s">
        <v>67</v>
      </c>
      <c r="E9" s="635" t="s">
        <v>339</v>
      </c>
      <c r="F9" s="285" t="s">
        <v>340</v>
      </c>
    </row>
    <row r="10" spans="3:7">
      <c r="C10" s="275">
        <v>60</v>
      </c>
      <c r="D10" s="276">
        <v>80</v>
      </c>
      <c r="E10" s="609">
        <v>1</v>
      </c>
      <c r="F10" s="636">
        <v>1.5</v>
      </c>
    </row>
    <row r="11" spans="3:7" ht="13.5" thickBot="1">
      <c r="C11" s="1234" t="s">
        <v>68</v>
      </c>
      <c r="D11" s="1235"/>
      <c r="E11" s="637">
        <f>(ABS(C10-D10))*(C10+D10)/2/12.96/E10</f>
        <v>108.02469135802468</v>
      </c>
      <c r="F11" s="265">
        <f>(ABS(C10-D10))*(C10+D10)/2/12.96/F10</f>
        <v>72.016460905349788</v>
      </c>
    </row>
    <row r="12" spans="3:7" ht="13.5" thickBot="1"/>
    <row r="13" spans="3:7" ht="13.5" thickBot="1">
      <c r="C13" s="1173" t="s">
        <v>891</v>
      </c>
      <c r="D13" s="1174"/>
      <c r="E13" s="1174"/>
      <c r="F13" s="1175"/>
    </row>
    <row r="14" spans="3:7" ht="13.5" thickBot="1"/>
    <row r="15" spans="3:7" ht="13.5" thickBot="1">
      <c r="C15" s="1193" t="s">
        <v>914</v>
      </c>
      <c r="D15" s="1194"/>
    </row>
    <row r="16" spans="3:7" ht="13.5" thickBot="1"/>
    <row r="17" spans="3:15" ht="13.5" thickBot="1">
      <c r="C17" s="638" t="s">
        <v>69</v>
      </c>
      <c r="D17" s="639" t="s">
        <v>70</v>
      </c>
      <c r="N17" s="182"/>
      <c r="O17" s="182"/>
    </row>
    <row r="18" spans="3:15" ht="13.5" thickBot="1">
      <c r="C18" s="640">
        <v>130</v>
      </c>
      <c r="D18" s="641">
        <f>12*C18/3.6</f>
        <v>433.33333333333331</v>
      </c>
      <c r="N18" s="182"/>
      <c r="O18" s="182"/>
    </row>
    <row r="19" spans="3:15" ht="13.5" thickBot="1">
      <c r="N19" s="182"/>
      <c r="O19" s="182"/>
    </row>
    <row r="20" spans="3:15" ht="13.5" thickBot="1">
      <c r="C20" s="1193" t="s">
        <v>892</v>
      </c>
      <c r="D20" s="1194"/>
      <c r="N20" s="182"/>
      <c r="O20" s="182"/>
    </row>
    <row r="21" spans="3:15" ht="13.5" thickBot="1">
      <c r="N21" s="182"/>
      <c r="O21" s="182"/>
    </row>
    <row r="22" spans="3:15" ht="13.5" thickBot="1">
      <c r="C22" s="1193" t="s">
        <v>893</v>
      </c>
      <c r="D22" s="1194"/>
      <c r="N22" s="182"/>
      <c r="O22" s="182"/>
    </row>
    <row r="23" spans="3:15" ht="13.5" thickBot="1">
      <c r="N23" s="182"/>
      <c r="O23" s="182"/>
    </row>
    <row r="24" spans="3:15" ht="13.5" thickBot="1">
      <c r="C24" s="1173" t="s">
        <v>894</v>
      </c>
      <c r="D24" s="1174"/>
      <c r="E24" s="1174"/>
      <c r="F24" s="1175"/>
      <c r="N24" s="182"/>
      <c r="O24" s="182"/>
    </row>
    <row r="25" spans="3:15" ht="13.5" thickBot="1">
      <c r="N25" s="182"/>
      <c r="O25" s="182"/>
    </row>
    <row r="26" spans="3:15" ht="13.5" thickBot="1">
      <c r="C26" s="638" t="s">
        <v>72</v>
      </c>
      <c r="D26" s="639" t="s">
        <v>70</v>
      </c>
      <c r="N26" s="182"/>
      <c r="O26" s="182"/>
    </row>
    <row r="27" spans="3:15">
      <c r="C27" s="284">
        <v>25</v>
      </c>
      <c r="D27" s="1020">
        <v>150</v>
      </c>
      <c r="N27" s="182"/>
      <c r="O27" s="182"/>
    </row>
    <row r="28" spans="3:15">
      <c r="C28" s="1008">
        <v>40</v>
      </c>
      <c r="D28" s="628">
        <v>180</v>
      </c>
      <c r="N28" s="182"/>
      <c r="O28" s="182"/>
    </row>
    <row r="29" spans="3:15">
      <c r="C29" s="1008">
        <v>50</v>
      </c>
      <c r="D29" s="628">
        <v>220</v>
      </c>
      <c r="N29" s="182"/>
      <c r="O29" s="182"/>
    </row>
    <row r="30" spans="3:15">
      <c r="C30" s="1008">
        <v>60</v>
      </c>
      <c r="D30" s="628">
        <v>280</v>
      </c>
      <c r="N30" s="182"/>
      <c r="O30" s="182"/>
    </row>
    <row r="31" spans="3:15">
      <c r="C31" s="1008">
        <v>70</v>
      </c>
      <c r="D31" s="628">
        <v>350</v>
      </c>
    </row>
    <row r="32" spans="3:15">
      <c r="C32" s="1008">
        <v>80</v>
      </c>
      <c r="D32" s="628">
        <v>420</v>
      </c>
    </row>
    <row r="33" spans="3:4">
      <c r="C33" s="1008">
        <v>90</v>
      </c>
      <c r="D33" s="628">
        <v>500</v>
      </c>
    </row>
    <row r="34" spans="3:4">
      <c r="C34" s="1008">
        <v>100</v>
      </c>
      <c r="D34" s="628">
        <v>560</v>
      </c>
    </row>
    <row r="35" spans="3:4">
      <c r="C35" s="1008">
        <v>110</v>
      </c>
      <c r="D35" s="628">
        <v>640</v>
      </c>
    </row>
    <row r="36" spans="3:4">
      <c r="C36" s="1008">
        <v>120</v>
      </c>
      <c r="D36" s="628">
        <v>720</v>
      </c>
    </row>
    <row r="37" spans="3:4">
      <c r="C37" s="1008">
        <v>130</v>
      </c>
      <c r="D37" s="628">
        <v>800</v>
      </c>
    </row>
    <row r="38" spans="3:4">
      <c r="C38" s="1008">
        <v>140</v>
      </c>
      <c r="D38" s="628">
        <v>860</v>
      </c>
    </row>
    <row r="39" spans="3:4">
      <c r="C39" s="1008">
        <v>150</v>
      </c>
      <c r="D39" s="628">
        <v>930</v>
      </c>
    </row>
    <row r="40" spans="3:4" ht="13.5" thickBot="1">
      <c r="C40" s="592">
        <v>160</v>
      </c>
      <c r="D40" s="631">
        <v>1000</v>
      </c>
    </row>
  </sheetData>
  <mergeCells count="9">
    <mergeCell ref="C3:F3"/>
    <mergeCell ref="C20:D20"/>
    <mergeCell ref="C22:D22"/>
    <mergeCell ref="C13:F13"/>
    <mergeCell ref="C24:F24"/>
    <mergeCell ref="C5:F5"/>
    <mergeCell ref="C15:D15"/>
    <mergeCell ref="C7:D7"/>
    <mergeCell ref="C11:D11"/>
  </mergeCells>
  <phoneticPr fontId="0" type="noConversion"/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9"/>
  <dimension ref="C1:AH66"/>
  <sheetViews>
    <sheetView workbookViewId="0"/>
  </sheetViews>
  <sheetFormatPr defaultRowHeight="12.75"/>
  <cols>
    <col min="1" max="2" width="3.28515625" style="181" customWidth="1"/>
    <col min="3" max="3" width="18.42578125" style="181" bestFit="1" customWidth="1"/>
    <col min="4" max="10" width="9.5703125" style="181" customWidth="1"/>
    <col min="11" max="14" width="9.5703125" style="182" customWidth="1"/>
    <col min="15" max="15" width="8.5703125" style="182" customWidth="1"/>
    <col min="16" max="16" width="4.140625" style="181" bestFit="1" customWidth="1"/>
    <col min="17" max="17" width="5.140625" style="181" bestFit="1" customWidth="1"/>
    <col min="18" max="18" width="5.28515625" style="181" customWidth="1"/>
    <col min="19" max="32" width="4.28515625" style="181" customWidth="1"/>
    <col min="33" max="34" width="5.5703125" style="181" bestFit="1" customWidth="1"/>
    <col min="35" max="16384" width="9.140625" style="181"/>
  </cols>
  <sheetData>
    <row r="1" spans="3:34" ht="13.5" thickBot="1">
      <c r="C1" s="803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2" spans="3:34">
      <c r="C2" s="183"/>
      <c r="D2" s="183"/>
      <c r="E2" s="183"/>
      <c r="F2" s="183"/>
      <c r="G2" s="183"/>
    </row>
    <row r="3" spans="3:34" ht="13.5" thickBot="1">
      <c r="C3" s="183"/>
      <c r="E3" s="183"/>
      <c r="F3" s="183"/>
      <c r="G3" s="183"/>
    </row>
    <row r="4" spans="3:34" ht="13.5" thickBot="1">
      <c r="C4" s="1170" t="s">
        <v>496</v>
      </c>
      <c r="D4" s="1171"/>
      <c r="E4" s="1171"/>
      <c r="F4" s="1171"/>
      <c r="G4" s="1171"/>
      <c r="H4" s="1171"/>
      <c r="I4" s="1171"/>
      <c r="J4" s="1171"/>
      <c r="K4" s="1171"/>
      <c r="L4" s="1171"/>
      <c r="M4" s="1171"/>
      <c r="N4" s="1172"/>
      <c r="P4" s="642">
        <v>0</v>
      </c>
      <c r="Q4" s="643">
        <v>1.7</v>
      </c>
      <c r="R4" s="1236" t="s">
        <v>533</v>
      </c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6"/>
    </row>
    <row r="5" spans="3:34">
      <c r="C5" s="644"/>
      <c r="D5" s="645" t="s">
        <v>180</v>
      </c>
      <c r="E5" s="646" t="s">
        <v>302</v>
      </c>
      <c r="F5" s="646" t="s">
        <v>69</v>
      </c>
      <c r="G5" s="646" t="s">
        <v>301</v>
      </c>
      <c r="H5" s="646" t="s">
        <v>282</v>
      </c>
      <c r="I5" s="647" t="s">
        <v>344</v>
      </c>
      <c r="J5" s="648" t="s">
        <v>651</v>
      </c>
      <c r="K5" s="646" t="s">
        <v>304</v>
      </c>
      <c r="L5" s="646" t="s">
        <v>648</v>
      </c>
      <c r="M5" s="647" t="s">
        <v>652</v>
      </c>
      <c r="N5" s="649" t="s">
        <v>188</v>
      </c>
      <c r="P5" s="650">
        <v>2.5</v>
      </c>
      <c r="Q5" s="606">
        <v>0.75</v>
      </c>
      <c r="R5" s="651">
        <v>0</v>
      </c>
      <c r="S5" s="651">
        <v>10</v>
      </c>
      <c r="T5" s="651">
        <v>20</v>
      </c>
      <c r="U5" s="651">
        <v>30</v>
      </c>
      <c r="V5" s="651">
        <v>40</v>
      </c>
      <c r="W5" s="651">
        <v>50</v>
      </c>
      <c r="X5" s="651">
        <v>60</v>
      </c>
      <c r="Y5" s="651">
        <v>70</v>
      </c>
      <c r="Z5" s="651">
        <v>80</v>
      </c>
      <c r="AA5" s="651">
        <v>90</v>
      </c>
      <c r="AB5" s="651">
        <v>100</v>
      </c>
      <c r="AC5" s="651">
        <v>110</v>
      </c>
      <c r="AD5" s="651">
        <v>120</v>
      </c>
      <c r="AE5" s="651">
        <v>130</v>
      </c>
      <c r="AF5" s="651">
        <v>140</v>
      </c>
      <c r="AG5" s="651">
        <v>150</v>
      </c>
      <c r="AH5" s="612">
        <v>160</v>
      </c>
    </row>
    <row r="6" spans="3:34">
      <c r="C6" s="652" t="s">
        <v>278</v>
      </c>
      <c r="D6" s="650">
        <v>60</v>
      </c>
      <c r="E6" s="651">
        <f>IF((((2.5*D6)^0.5)*3.6)&gt;140,140,((2.5*D6)^0.5)*3.6)</f>
        <v>44.090815370097204</v>
      </c>
      <c r="F6" s="608">
        <v>70</v>
      </c>
      <c r="G6" s="653">
        <f>0.75*F6</f>
        <v>52.5</v>
      </c>
      <c r="H6" s="654">
        <v>1</v>
      </c>
      <c r="I6" s="655">
        <v>0</v>
      </c>
      <c r="J6" s="656"/>
      <c r="K6" s="611">
        <f>(G6^2-E6^2)/26/(H6-I6/10)</f>
        <v>31.240384615384624</v>
      </c>
      <c r="L6" s="651"/>
      <c r="M6" s="657">
        <v>60</v>
      </c>
      <c r="N6" s="658">
        <f>J6+K6+M6</f>
        <v>91.240384615384627</v>
      </c>
      <c r="P6" s="1237" t="s">
        <v>534</v>
      </c>
      <c r="Q6" s="651">
        <v>0</v>
      </c>
      <c r="R6" s="659"/>
      <c r="S6" s="651">
        <f>((S$5*$Q$5)^2-$Q6^2)/26/($Q$4+$P$4/10)</f>
        <v>1.2726244343891402</v>
      </c>
      <c r="T6" s="651">
        <f t="shared" ref="T6:AH21" si="0">((T$5*$Q$5)^2-$Q6^2)/26/($Q$4+$P$4/10)</f>
        <v>5.0904977375565608</v>
      </c>
      <c r="U6" s="651">
        <f t="shared" si="0"/>
        <v>11.453619909502263</v>
      </c>
      <c r="V6" s="651">
        <f t="shared" si="0"/>
        <v>20.361990950226243</v>
      </c>
      <c r="W6" s="651">
        <f t="shared" si="0"/>
        <v>31.815610859728508</v>
      </c>
      <c r="X6" s="651">
        <f t="shared" si="0"/>
        <v>45.814479638009054</v>
      </c>
      <c r="Y6" s="651">
        <f t="shared" si="0"/>
        <v>62.358597285067873</v>
      </c>
      <c r="Z6" s="651">
        <f t="shared" si="0"/>
        <v>81.447963800904972</v>
      </c>
      <c r="AA6" s="651">
        <f t="shared" si="0"/>
        <v>103.08257918552036</v>
      </c>
      <c r="AB6" s="651">
        <f t="shared" si="0"/>
        <v>127.26244343891403</v>
      </c>
      <c r="AC6" s="651">
        <f t="shared" si="0"/>
        <v>153.98755656108597</v>
      </c>
      <c r="AD6" s="651">
        <f t="shared" si="0"/>
        <v>183.25791855203622</v>
      </c>
      <c r="AE6" s="651">
        <f t="shared" si="0"/>
        <v>215.07352941176472</v>
      </c>
      <c r="AF6" s="651">
        <f t="shared" si="0"/>
        <v>249.43438914027149</v>
      </c>
      <c r="AG6" s="651">
        <f t="shared" si="0"/>
        <v>286.34049773755657</v>
      </c>
      <c r="AH6" s="612">
        <f t="shared" si="0"/>
        <v>325.79185520361989</v>
      </c>
    </row>
    <row r="7" spans="3:34">
      <c r="C7" s="652" t="s">
        <v>345</v>
      </c>
      <c r="D7" s="660">
        <f>D6</f>
        <v>60</v>
      </c>
      <c r="E7" s="651">
        <f>IF((((2.5*D7)^0.5)*3.6)&gt;140,140,((2.5*D7)^0.5)*3.6)</f>
        <v>44.090815370097204</v>
      </c>
      <c r="F7" s="653">
        <f>F6</f>
        <v>70</v>
      </c>
      <c r="G7" s="653">
        <f>0.8*F7</f>
        <v>56</v>
      </c>
      <c r="H7" s="654">
        <v>1</v>
      </c>
      <c r="I7" s="661"/>
      <c r="J7" s="662"/>
      <c r="K7" s="611">
        <f>(G7^2-E7^2)/26/(H7)-J7</f>
        <v>45.846153846153854</v>
      </c>
      <c r="L7" s="651"/>
      <c r="M7" s="657">
        <f>IF(F7&lt;=80,50,IF(F7&gt;80,75,))</f>
        <v>50</v>
      </c>
      <c r="N7" s="658">
        <f>J7+K7+M7</f>
        <v>95.846153846153854</v>
      </c>
      <c r="P7" s="1238"/>
      <c r="Q7" s="651">
        <v>10</v>
      </c>
      <c r="R7" s="651">
        <f>(($Q7*$Q$5)^2-R$5^2)/26/($P$5+$P$4/10)</f>
        <v>0.86538461538461531</v>
      </c>
      <c r="S7" s="659"/>
      <c r="T7" s="651">
        <f t="shared" si="0"/>
        <v>2.8280542986425341</v>
      </c>
      <c r="U7" s="651">
        <f t="shared" si="0"/>
        <v>9.1911764705882355</v>
      </c>
      <c r="V7" s="651">
        <f t="shared" si="0"/>
        <v>18.099547511312217</v>
      </c>
      <c r="W7" s="651">
        <f t="shared" si="0"/>
        <v>29.553167420814479</v>
      </c>
      <c r="X7" s="651">
        <f t="shared" si="0"/>
        <v>43.552036199095021</v>
      </c>
      <c r="Y7" s="651">
        <f t="shared" si="0"/>
        <v>60.096153846153847</v>
      </c>
      <c r="Z7" s="651">
        <f t="shared" si="0"/>
        <v>79.185520361990953</v>
      </c>
      <c r="AA7" s="651">
        <f t="shared" si="0"/>
        <v>100.82013574660634</v>
      </c>
      <c r="AB7" s="651">
        <f t="shared" si="0"/>
        <v>125</v>
      </c>
      <c r="AC7" s="651">
        <f t="shared" si="0"/>
        <v>151.72511312217196</v>
      </c>
      <c r="AD7" s="651">
        <f t="shared" si="0"/>
        <v>180.99547511312218</v>
      </c>
      <c r="AE7" s="651">
        <f t="shared" si="0"/>
        <v>212.81108597285066</v>
      </c>
      <c r="AF7" s="651">
        <f t="shared" si="0"/>
        <v>247.17194570135746</v>
      </c>
      <c r="AG7" s="651">
        <f t="shared" si="0"/>
        <v>284.07805429864254</v>
      </c>
      <c r="AH7" s="612">
        <f t="shared" si="0"/>
        <v>323.52941176470591</v>
      </c>
    </row>
    <row r="8" spans="3:34" ht="12.75" customHeight="1">
      <c r="C8" s="652" t="s">
        <v>346</v>
      </c>
      <c r="D8" s="660">
        <f>D6</f>
        <v>60</v>
      </c>
      <c r="E8" s="651">
        <f>IF((((2.5*D8)^0.5)*3.6)&gt;140,140,((2.5*D8)^0.5)*3.6)</f>
        <v>44.090815370097204</v>
      </c>
      <c r="F8" s="653">
        <f>F6</f>
        <v>70</v>
      </c>
      <c r="G8" s="653">
        <f>0.75*F8</f>
        <v>52.5</v>
      </c>
      <c r="H8" s="654">
        <v>1</v>
      </c>
      <c r="I8" s="657">
        <f>I6</f>
        <v>0</v>
      </c>
      <c r="J8" s="656"/>
      <c r="K8" s="611">
        <f>IF(((G8^2-E8^2)/26/(H8-I8/10))&gt;0,(G8^2-E8^2)/26/(H8-I8/10),0)</f>
        <v>31.240384615384624</v>
      </c>
      <c r="L8" s="651">
        <f>(F8^2/140^2*150)</f>
        <v>37.5</v>
      </c>
      <c r="M8" s="658">
        <f>IF(F8&lt;=60,20,IF(F8&lt;=80,50,IF(F8&gt;80,75)))</f>
        <v>50</v>
      </c>
      <c r="N8" s="658">
        <f>MAX(L8:M8)+K8</f>
        <v>81.240384615384627</v>
      </c>
      <c r="O8" s="632"/>
      <c r="P8" s="1238"/>
      <c r="Q8" s="651">
        <v>20</v>
      </c>
      <c r="R8" s="651">
        <f t="shared" ref="R8:S22" si="1">(($Q8*$Q$5)^2-R$5^2)/26/($P$5+$P$4/10)</f>
        <v>3.4615384615384612</v>
      </c>
      <c r="S8" s="651">
        <f t="shared" si="1"/>
        <v>1.9230769230769229</v>
      </c>
      <c r="T8" s="659"/>
      <c r="U8" s="651">
        <f t="shared" si="0"/>
        <v>2.4038461538461542</v>
      </c>
      <c r="V8" s="651">
        <f t="shared" si="0"/>
        <v>11.312217194570136</v>
      </c>
      <c r="W8" s="651">
        <f t="shared" si="0"/>
        <v>22.7658371040724</v>
      </c>
      <c r="X8" s="651">
        <f t="shared" si="0"/>
        <v>36.764705882352942</v>
      </c>
      <c r="Y8" s="651">
        <f t="shared" si="0"/>
        <v>53.308823529411768</v>
      </c>
      <c r="Z8" s="651">
        <f t="shared" si="0"/>
        <v>72.398190045248867</v>
      </c>
      <c r="AA8" s="651">
        <f t="shared" si="0"/>
        <v>94.032805429864254</v>
      </c>
      <c r="AB8" s="651">
        <f t="shared" si="0"/>
        <v>118.21266968325791</v>
      </c>
      <c r="AC8" s="651">
        <f t="shared" si="0"/>
        <v>144.93778280542986</v>
      </c>
      <c r="AD8" s="651">
        <f t="shared" si="0"/>
        <v>174.20814479638008</v>
      </c>
      <c r="AE8" s="651">
        <f t="shared" si="0"/>
        <v>206.02375565610862</v>
      </c>
      <c r="AF8" s="651">
        <f t="shared" si="0"/>
        <v>240.38461538461539</v>
      </c>
      <c r="AG8" s="651">
        <f t="shared" si="0"/>
        <v>277.29072398190044</v>
      </c>
      <c r="AH8" s="612">
        <f t="shared" si="0"/>
        <v>316.74208144796381</v>
      </c>
    </row>
    <row r="9" spans="3:34" ht="12.75" customHeight="1">
      <c r="C9" s="652"/>
      <c r="D9" s="660"/>
      <c r="E9" s="651"/>
      <c r="F9" s="653"/>
      <c r="G9" s="653"/>
      <c r="H9" s="654"/>
      <c r="I9" s="657"/>
      <c r="J9" s="656"/>
      <c r="K9" s="611"/>
      <c r="L9" s="651"/>
      <c r="M9" s="658"/>
      <c r="N9" s="658"/>
      <c r="O9" s="632"/>
      <c r="P9" s="1238"/>
      <c r="Q9" s="651">
        <v>30</v>
      </c>
      <c r="R9" s="651">
        <f t="shared" si="1"/>
        <v>7.7884615384615383</v>
      </c>
      <c r="S9" s="651">
        <f t="shared" ref="S9:AG22" si="2">(($Q9*$Q$5)^2-S$5^2)/26/($P$5+$P$4/10)</f>
        <v>6.25</v>
      </c>
      <c r="T9" s="651">
        <f t="shared" si="2"/>
        <v>1.6346153846153846</v>
      </c>
      <c r="U9" s="659"/>
      <c r="V9" s="651">
        <f t="shared" si="0"/>
        <v>0</v>
      </c>
      <c r="W9" s="651">
        <f t="shared" si="0"/>
        <v>11.453619909502263</v>
      </c>
      <c r="X9" s="651">
        <f t="shared" si="0"/>
        <v>25.452488687782804</v>
      </c>
      <c r="Y9" s="651">
        <f t="shared" si="0"/>
        <v>41.99660633484163</v>
      </c>
      <c r="Z9" s="651">
        <f t="shared" si="0"/>
        <v>61.085972850678729</v>
      </c>
      <c r="AA9" s="651">
        <f t="shared" si="0"/>
        <v>82.720588235294116</v>
      </c>
      <c r="AB9" s="651">
        <f t="shared" si="0"/>
        <v>106.90045248868778</v>
      </c>
      <c r="AC9" s="651">
        <f t="shared" si="0"/>
        <v>133.62556561085972</v>
      </c>
      <c r="AD9" s="651">
        <f t="shared" si="0"/>
        <v>162.89592760180994</v>
      </c>
      <c r="AE9" s="651">
        <f t="shared" si="0"/>
        <v>194.71153846153845</v>
      </c>
      <c r="AF9" s="651">
        <f t="shared" si="0"/>
        <v>229.07239819004525</v>
      </c>
      <c r="AG9" s="651">
        <f t="shared" si="0"/>
        <v>265.97850678733033</v>
      </c>
      <c r="AH9" s="612">
        <f t="shared" si="0"/>
        <v>305.4298642533937</v>
      </c>
    </row>
    <row r="10" spans="3:34">
      <c r="C10" s="652" t="s">
        <v>793</v>
      </c>
      <c r="D10" s="660">
        <f>D7</f>
        <v>60</v>
      </c>
      <c r="E10" s="651">
        <f>IF((((2.5*D10)^0.5)*3.6)&gt;140,140,((2.5*D10)^0.5)*3.6)</f>
        <v>44.090815370097204</v>
      </c>
      <c r="F10" s="653">
        <f>F7</f>
        <v>70</v>
      </c>
      <c r="G10" s="653">
        <f>0.75*F10</f>
        <v>52.5</v>
      </c>
      <c r="H10" s="654">
        <v>1.7</v>
      </c>
      <c r="I10" s="657">
        <f>I6</f>
        <v>0</v>
      </c>
      <c r="J10" s="656"/>
      <c r="K10" s="611">
        <f>IF(((G10^2-E10^2)/26/(H10-I10/10))&gt;0,(G10^2-E10^2)/26/(H10-I10/10),0)</f>
        <v>18.376696832579192</v>
      </c>
      <c r="L10" s="651">
        <f>(F10^2/140^2*150)</f>
        <v>37.5</v>
      </c>
      <c r="M10" s="612">
        <f>IF(F10&lt;=60,20,IF(F10&lt;=80,50,IF(F10&gt;80,75)))</f>
        <v>50</v>
      </c>
      <c r="N10" s="658">
        <f>MAX(L10:M10)+K10</f>
        <v>68.376696832579199</v>
      </c>
      <c r="O10" s="632"/>
      <c r="P10" s="1238"/>
      <c r="Q10" s="651">
        <v>40</v>
      </c>
      <c r="R10" s="651">
        <f t="shared" si="1"/>
        <v>13.846153846153845</v>
      </c>
      <c r="S10" s="651">
        <f t="shared" si="2"/>
        <v>12.307692307692308</v>
      </c>
      <c r="T10" s="651">
        <f t="shared" si="2"/>
        <v>7.6923076923076916</v>
      </c>
      <c r="U10" s="651">
        <f t="shared" si="2"/>
        <v>0</v>
      </c>
      <c r="V10" s="659"/>
      <c r="W10" s="651">
        <f t="shared" si="0"/>
        <v>-4.3834841628959271</v>
      </c>
      <c r="X10" s="651">
        <f t="shared" si="0"/>
        <v>9.6153846153846168</v>
      </c>
      <c r="Y10" s="651">
        <f t="shared" si="0"/>
        <v>26.159502262443439</v>
      </c>
      <c r="Z10" s="651">
        <f t="shared" si="0"/>
        <v>45.248868778280546</v>
      </c>
      <c r="AA10" s="651">
        <f t="shared" si="0"/>
        <v>66.883484162895925</v>
      </c>
      <c r="AB10" s="651">
        <f t="shared" si="0"/>
        <v>91.0633484162896</v>
      </c>
      <c r="AC10" s="651">
        <f t="shared" si="0"/>
        <v>117.78846153846155</v>
      </c>
      <c r="AD10" s="651">
        <f t="shared" si="0"/>
        <v>147.05882352941177</v>
      </c>
      <c r="AE10" s="651">
        <f t="shared" si="0"/>
        <v>178.87443438914028</v>
      </c>
      <c r="AF10" s="651">
        <f t="shared" si="0"/>
        <v>213.23529411764707</v>
      </c>
      <c r="AG10" s="651">
        <f t="shared" si="0"/>
        <v>250.14140271493216</v>
      </c>
      <c r="AH10" s="612">
        <f t="shared" si="0"/>
        <v>289.59276018099547</v>
      </c>
    </row>
    <row r="11" spans="3:34" ht="13.5" thickBot="1">
      <c r="C11" s="663" t="s">
        <v>347</v>
      </c>
      <c r="D11" s="664">
        <f>D6</f>
        <v>60</v>
      </c>
      <c r="E11" s="665">
        <f>IF((((2.5*D11)^0.5)*3.6)&gt;140,140,((2.5*D11)^0.5)*3.6)</f>
        <v>44.090815370097204</v>
      </c>
      <c r="F11" s="666">
        <f>F6</f>
        <v>70</v>
      </c>
      <c r="G11" s="666">
        <f>0.6*F11</f>
        <v>42</v>
      </c>
      <c r="H11" s="667">
        <v>1.2</v>
      </c>
      <c r="I11" s="668">
        <f>I6</f>
        <v>0</v>
      </c>
      <c r="J11" s="669"/>
      <c r="K11" s="615">
        <f>IF(((G11^2-E11^2)/26/(H11-I11/10)-J11+100)&gt;225,((G11^2-E11^2)/26/(H11-I11/10)-J11+100),225)</f>
        <v>225</v>
      </c>
      <c r="L11" s="665"/>
      <c r="M11" s="668">
        <f>IF(F11&lt;=60,20,IF(F11&lt;=80,50,IF(F11&gt;80,75)))</f>
        <v>50</v>
      </c>
      <c r="N11" s="670">
        <f>J11+K11+M11</f>
        <v>275</v>
      </c>
      <c r="P11" s="1238"/>
      <c r="Q11" s="651">
        <v>50</v>
      </c>
      <c r="R11" s="651">
        <f t="shared" si="1"/>
        <v>21.634615384615383</v>
      </c>
      <c r="S11" s="651">
        <f t="shared" si="2"/>
        <v>20.096153846153847</v>
      </c>
      <c r="T11" s="651">
        <f t="shared" si="2"/>
        <v>15.480769230769232</v>
      </c>
      <c r="U11" s="651">
        <f t="shared" si="2"/>
        <v>7.7884615384615383</v>
      </c>
      <c r="V11" s="651">
        <f t="shared" si="2"/>
        <v>-2.9807692307692308</v>
      </c>
      <c r="W11" s="659"/>
      <c r="X11" s="651">
        <f t="shared" si="0"/>
        <v>-10.74660633484163</v>
      </c>
      <c r="Y11" s="651">
        <f t="shared" si="0"/>
        <v>5.7975113122171944</v>
      </c>
      <c r="Z11" s="651">
        <f t="shared" si="0"/>
        <v>24.886877828054299</v>
      </c>
      <c r="AA11" s="651">
        <f t="shared" si="0"/>
        <v>46.521493212669689</v>
      </c>
      <c r="AB11" s="651">
        <f t="shared" si="0"/>
        <v>70.701357466063357</v>
      </c>
      <c r="AC11" s="651">
        <f t="shared" si="0"/>
        <v>97.42647058823529</v>
      </c>
      <c r="AD11" s="651">
        <f t="shared" si="0"/>
        <v>126.69683257918552</v>
      </c>
      <c r="AE11" s="651">
        <f t="shared" si="0"/>
        <v>158.51244343891403</v>
      </c>
      <c r="AF11" s="651">
        <f t="shared" si="0"/>
        <v>192.8733031674208</v>
      </c>
      <c r="AG11" s="651">
        <f t="shared" si="0"/>
        <v>229.77941176470588</v>
      </c>
      <c r="AH11" s="612">
        <f t="shared" si="0"/>
        <v>269.23076923076923</v>
      </c>
    </row>
    <row r="12" spans="3:34" ht="13.5" thickBot="1">
      <c r="C12" s="183"/>
      <c r="D12" s="183"/>
      <c r="E12" s="183"/>
      <c r="F12" s="183"/>
      <c r="G12" s="183"/>
      <c r="P12" s="1238"/>
      <c r="Q12" s="651">
        <v>60</v>
      </c>
      <c r="R12" s="651">
        <f t="shared" si="1"/>
        <v>31.153846153846153</v>
      </c>
      <c r="S12" s="651">
        <f t="shared" si="2"/>
        <v>29.615384615384613</v>
      </c>
      <c r="T12" s="651">
        <f t="shared" si="2"/>
        <v>25</v>
      </c>
      <c r="U12" s="651">
        <f t="shared" si="2"/>
        <v>17.307692307692307</v>
      </c>
      <c r="V12" s="651">
        <f t="shared" si="2"/>
        <v>6.5384615384615383</v>
      </c>
      <c r="W12" s="651">
        <f t="shared" si="2"/>
        <v>-7.3076923076923084</v>
      </c>
      <c r="X12" s="659"/>
      <c r="Y12" s="651">
        <f t="shared" si="0"/>
        <v>-19.089366515837106</v>
      </c>
      <c r="Z12" s="651">
        <f t="shared" si="0"/>
        <v>0</v>
      </c>
      <c r="AA12" s="651">
        <f t="shared" si="0"/>
        <v>21.634615384615383</v>
      </c>
      <c r="AB12" s="651">
        <f t="shared" si="0"/>
        <v>45.814479638009054</v>
      </c>
      <c r="AC12" s="651">
        <f t="shared" si="0"/>
        <v>72.539592760180994</v>
      </c>
      <c r="AD12" s="651">
        <f t="shared" si="0"/>
        <v>101.80995475113122</v>
      </c>
      <c r="AE12" s="651">
        <f t="shared" si="0"/>
        <v>133.62556561085972</v>
      </c>
      <c r="AF12" s="651">
        <f t="shared" si="0"/>
        <v>167.98642533936652</v>
      </c>
      <c r="AG12" s="651">
        <f t="shared" si="0"/>
        <v>204.89253393665157</v>
      </c>
      <c r="AH12" s="612">
        <f t="shared" si="0"/>
        <v>244.34389140271492</v>
      </c>
    </row>
    <row r="13" spans="3:34" ht="13.5" thickBot="1">
      <c r="C13" s="1170" t="s">
        <v>495</v>
      </c>
      <c r="D13" s="1171"/>
      <c r="E13" s="1171"/>
      <c r="F13" s="1171"/>
      <c r="G13" s="1171"/>
      <c r="H13" s="1171"/>
      <c r="I13" s="1171"/>
      <c r="J13" s="1249"/>
      <c r="K13" s="1249"/>
      <c r="L13" s="1249"/>
      <c r="M13" s="1249"/>
      <c r="N13" s="1172"/>
      <c r="P13" s="1238"/>
      <c r="Q13" s="651">
        <v>70</v>
      </c>
      <c r="R13" s="651">
        <f t="shared" si="1"/>
        <v>42.403846153846153</v>
      </c>
      <c r="S13" s="651">
        <f t="shared" si="2"/>
        <v>40.865384615384613</v>
      </c>
      <c r="T13" s="651">
        <f t="shared" si="2"/>
        <v>36.25</v>
      </c>
      <c r="U13" s="651">
        <f t="shared" si="2"/>
        <v>28.55769230769231</v>
      </c>
      <c r="V13" s="651">
        <f t="shared" si="2"/>
        <v>17.78846153846154</v>
      </c>
      <c r="W13" s="651">
        <f t="shared" si="2"/>
        <v>3.9423076923076921</v>
      </c>
      <c r="X13" s="651">
        <f t="shared" si="2"/>
        <v>-12.980769230769232</v>
      </c>
      <c r="Y13" s="659"/>
      <c r="Z13" s="651">
        <f t="shared" si="0"/>
        <v>-29.411764705882355</v>
      </c>
      <c r="AA13" s="651">
        <f t="shared" si="0"/>
        <v>-7.7771493212669691</v>
      </c>
      <c r="AB13" s="651">
        <f t="shared" si="0"/>
        <v>16.402714932126695</v>
      </c>
      <c r="AC13" s="651">
        <f t="shared" si="0"/>
        <v>43.127828054298647</v>
      </c>
      <c r="AD13" s="651">
        <f t="shared" si="0"/>
        <v>72.398190045248867</v>
      </c>
      <c r="AE13" s="651">
        <f t="shared" si="0"/>
        <v>104.21380090497739</v>
      </c>
      <c r="AF13" s="651">
        <f t="shared" si="0"/>
        <v>138.57466063348417</v>
      </c>
      <c r="AG13" s="651">
        <f t="shared" si="0"/>
        <v>175.48076923076923</v>
      </c>
      <c r="AH13" s="612">
        <f t="shared" si="0"/>
        <v>214.93212669683257</v>
      </c>
    </row>
    <row r="14" spans="3:34">
      <c r="C14" s="644"/>
      <c r="D14" s="645" t="s">
        <v>69</v>
      </c>
      <c r="E14" s="646" t="s">
        <v>301</v>
      </c>
      <c r="F14" s="646" t="s">
        <v>180</v>
      </c>
      <c r="G14" s="646" t="s">
        <v>302</v>
      </c>
      <c r="H14" s="646" t="s">
        <v>282</v>
      </c>
      <c r="I14" s="671" t="s">
        <v>344</v>
      </c>
      <c r="J14" s="194" t="s">
        <v>649</v>
      </c>
      <c r="K14" s="672" t="s">
        <v>650</v>
      </c>
      <c r="L14" s="672"/>
      <c r="M14" s="673" t="s">
        <v>651</v>
      </c>
      <c r="N14" s="649" t="s">
        <v>188</v>
      </c>
      <c r="P14" s="1238"/>
      <c r="Q14" s="651">
        <v>80</v>
      </c>
      <c r="R14" s="651">
        <f t="shared" si="1"/>
        <v>55.38461538461538</v>
      </c>
      <c r="S14" s="651">
        <f t="shared" si="2"/>
        <v>53.846153846153847</v>
      </c>
      <c r="T14" s="651">
        <f t="shared" si="2"/>
        <v>49.230769230769234</v>
      </c>
      <c r="U14" s="651">
        <f t="shared" si="2"/>
        <v>41.538461538461533</v>
      </c>
      <c r="V14" s="651">
        <f t="shared" si="2"/>
        <v>30.769230769230766</v>
      </c>
      <c r="W14" s="651">
        <f t="shared" si="2"/>
        <v>16.923076923076923</v>
      </c>
      <c r="X14" s="651">
        <f t="shared" si="2"/>
        <v>0</v>
      </c>
      <c r="Y14" s="651">
        <f t="shared" si="2"/>
        <v>-20</v>
      </c>
      <c r="Z14" s="659"/>
      <c r="AA14" s="651">
        <f t="shared" si="0"/>
        <v>-41.713800904977376</v>
      </c>
      <c r="AB14" s="651">
        <f t="shared" si="0"/>
        <v>-17.533936651583709</v>
      </c>
      <c r="AC14" s="651">
        <f t="shared" si="0"/>
        <v>9.1911764705882355</v>
      </c>
      <c r="AD14" s="651">
        <f t="shared" si="0"/>
        <v>38.461538461538467</v>
      </c>
      <c r="AE14" s="651">
        <f t="shared" si="0"/>
        <v>70.277149321266961</v>
      </c>
      <c r="AF14" s="651">
        <f t="shared" si="0"/>
        <v>104.63800904977376</v>
      </c>
      <c r="AG14" s="651">
        <f t="shared" si="0"/>
        <v>141.54411764705884</v>
      </c>
      <c r="AH14" s="612">
        <f t="shared" si="0"/>
        <v>180.99547511312218</v>
      </c>
    </row>
    <row r="15" spans="3:34">
      <c r="C15" s="652" t="s">
        <v>278</v>
      </c>
      <c r="D15" s="660">
        <f>F6</f>
        <v>70</v>
      </c>
      <c r="E15" s="653">
        <f>0.75*D15</f>
        <v>52.5</v>
      </c>
      <c r="F15" s="653">
        <f>D6</f>
        <v>60</v>
      </c>
      <c r="G15" s="651">
        <f>IF((((2.5*F15)^0.5)*3.6)&gt;140,140,((2.5*F15)^0.5)*3.6)</f>
        <v>44.090815370097204</v>
      </c>
      <c r="H15" s="654">
        <v>2.5</v>
      </c>
      <c r="I15" s="674">
        <f>I6</f>
        <v>0</v>
      </c>
      <c r="J15" s="660">
        <v>60</v>
      </c>
      <c r="K15" s="611">
        <f>(E15^2-G15^2)/26/(H15+I15/10)</f>
        <v>12.496153846153849</v>
      </c>
      <c r="L15" s="653"/>
      <c r="M15" s="661"/>
      <c r="N15" s="658">
        <f>M15+K15+J15</f>
        <v>72.496153846153845</v>
      </c>
      <c r="P15" s="1238"/>
      <c r="Q15" s="651">
        <v>90</v>
      </c>
      <c r="R15" s="651">
        <f t="shared" si="1"/>
        <v>70.09615384615384</v>
      </c>
      <c r="S15" s="651">
        <f t="shared" si="2"/>
        <v>68.557692307692307</v>
      </c>
      <c r="T15" s="651">
        <f t="shared" si="2"/>
        <v>63.942307692307693</v>
      </c>
      <c r="U15" s="651">
        <f t="shared" si="2"/>
        <v>56.25</v>
      </c>
      <c r="V15" s="651">
        <f t="shared" si="2"/>
        <v>45.480769230769234</v>
      </c>
      <c r="W15" s="651">
        <f t="shared" si="2"/>
        <v>31.634615384615387</v>
      </c>
      <c r="X15" s="651">
        <f t="shared" si="2"/>
        <v>14.711538461538462</v>
      </c>
      <c r="Y15" s="651">
        <f t="shared" si="2"/>
        <v>-5.2884615384615383</v>
      </c>
      <c r="Z15" s="651">
        <f t="shared" si="2"/>
        <v>-28.365384615384613</v>
      </c>
      <c r="AA15" s="659"/>
      <c r="AB15" s="651">
        <f t="shared" si="0"/>
        <v>-55.995475113122176</v>
      </c>
      <c r="AC15" s="651">
        <f t="shared" si="0"/>
        <v>-29.270361990950228</v>
      </c>
      <c r="AD15" s="651">
        <f t="shared" si="0"/>
        <v>0</v>
      </c>
      <c r="AE15" s="651">
        <f t="shared" si="0"/>
        <v>31.815610859728508</v>
      </c>
      <c r="AF15" s="651">
        <f t="shared" si="0"/>
        <v>66.17647058823529</v>
      </c>
      <c r="AG15" s="651">
        <f t="shared" si="0"/>
        <v>103.08257918552036</v>
      </c>
      <c r="AH15" s="612">
        <f t="shared" si="0"/>
        <v>142.53393665158373</v>
      </c>
    </row>
    <row r="16" spans="3:34">
      <c r="C16" s="652" t="s">
        <v>345</v>
      </c>
      <c r="D16" s="660">
        <f>F6</f>
        <v>70</v>
      </c>
      <c r="E16" s="653">
        <f>D16</f>
        <v>70</v>
      </c>
      <c r="F16" s="653">
        <f>D6</f>
        <v>60</v>
      </c>
      <c r="G16" s="651">
        <f>IF((((2.5*F16)^0.5)*3.6)&gt;140,140,((2.5*F16)^0.5)*3.6)</f>
        <v>44.090815370097204</v>
      </c>
      <c r="H16" s="654">
        <v>3</v>
      </c>
      <c r="I16" s="675"/>
      <c r="J16" s="660">
        <f>IF(D16&lt;=40,20,IF(D16&lt;=60,40,IF(D16&lt;=80,60,IF(D16&lt;=100,75,IF(D16&gt;100,90)))))</f>
        <v>60</v>
      </c>
      <c r="K16" s="611">
        <f>(E16^2-G16^2)/26/(H16)-J16/2</f>
        <v>7.8974358974358978</v>
      </c>
      <c r="L16" s="653"/>
      <c r="M16" s="676"/>
      <c r="N16" s="658">
        <f>M16+K16+J16</f>
        <v>67.897435897435898</v>
      </c>
      <c r="P16" s="1238"/>
      <c r="Q16" s="651">
        <v>100</v>
      </c>
      <c r="R16" s="651">
        <f t="shared" si="1"/>
        <v>86.538461538461533</v>
      </c>
      <c r="S16" s="651">
        <f t="shared" si="2"/>
        <v>85</v>
      </c>
      <c r="T16" s="651">
        <f t="shared" si="2"/>
        <v>80.384615384615387</v>
      </c>
      <c r="U16" s="651">
        <f t="shared" si="2"/>
        <v>72.692307692307693</v>
      </c>
      <c r="V16" s="651">
        <f t="shared" si="2"/>
        <v>61.923076923076927</v>
      </c>
      <c r="W16" s="651">
        <f t="shared" si="2"/>
        <v>48.07692307692308</v>
      </c>
      <c r="X16" s="651">
        <f t="shared" si="2"/>
        <v>31.153846153846153</v>
      </c>
      <c r="Y16" s="651">
        <f t="shared" si="2"/>
        <v>11.153846153846153</v>
      </c>
      <c r="Z16" s="651">
        <f t="shared" si="2"/>
        <v>-11.923076923076923</v>
      </c>
      <c r="AA16" s="651">
        <f t="shared" si="2"/>
        <v>-38.07692307692308</v>
      </c>
      <c r="AB16" s="659"/>
      <c r="AC16" s="651">
        <f t="shared" si="0"/>
        <v>-72.25678733031674</v>
      </c>
      <c r="AD16" s="651">
        <f t="shared" si="0"/>
        <v>-42.986425339366519</v>
      </c>
      <c r="AE16" s="651">
        <f t="shared" si="0"/>
        <v>-11.170814479638009</v>
      </c>
      <c r="AF16" s="651">
        <f t="shared" si="0"/>
        <v>23.190045248868778</v>
      </c>
      <c r="AG16" s="651">
        <f t="shared" si="0"/>
        <v>60.096153846153847</v>
      </c>
      <c r="AH16" s="612">
        <f t="shared" si="0"/>
        <v>99.547511312217196</v>
      </c>
    </row>
    <row r="17" spans="3:34">
      <c r="C17" s="652" t="s">
        <v>346</v>
      </c>
      <c r="D17" s="660">
        <f>F6</f>
        <v>70</v>
      </c>
      <c r="E17" s="653">
        <f>0.75*D17</f>
        <v>52.5</v>
      </c>
      <c r="F17" s="653">
        <f>D6</f>
        <v>60</v>
      </c>
      <c r="G17" s="651">
        <f>IF((((2.5*F17)^0.5)*3.6)&gt;140,140,((2.5*F17)^0.5)*3.6)</f>
        <v>44.090815370097204</v>
      </c>
      <c r="H17" s="654">
        <v>2.5</v>
      </c>
      <c r="I17" s="674">
        <f>I6</f>
        <v>0</v>
      </c>
      <c r="J17" s="660">
        <f>IF(D17&lt;=60,20,IF(D17&lt;=80,50,IF(D17&gt;80,75)))</f>
        <v>50</v>
      </c>
      <c r="K17" s="611">
        <f>IF(((E17^2-G17^2)/26/(H17+I17/10)-J17)&gt;0,(E17^2-G17^2)/26/(H17+I17/10)-J17,0)</f>
        <v>0</v>
      </c>
      <c r="L17" s="653"/>
      <c r="M17" s="661"/>
      <c r="N17" s="658">
        <f>M17+K17+J17</f>
        <v>50</v>
      </c>
      <c r="P17" s="1238"/>
      <c r="Q17" s="651">
        <v>110</v>
      </c>
      <c r="R17" s="651">
        <f t="shared" si="1"/>
        <v>104.71153846153845</v>
      </c>
      <c r="S17" s="651">
        <f t="shared" si="2"/>
        <v>103.17307692307693</v>
      </c>
      <c r="T17" s="651">
        <f t="shared" si="2"/>
        <v>98.557692307692307</v>
      </c>
      <c r="U17" s="651">
        <f t="shared" si="2"/>
        <v>90.865384615384613</v>
      </c>
      <c r="V17" s="651">
        <f t="shared" si="2"/>
        <v>80.09615384615384</v>
      </c>
      <c r="W17" s="651">
        <f t="shared" si="2"/>
        <v>66.25</v>
      </c>
      <c r="X17" s="651">
        <f t="shared" si="2"/>
        <v>49.32692307692308</v>
      </c>
      <c r="Y17" s="651">
        <f t="shared" si="2"/>
        <v>29.326923076923077</v>
      </c>
      <c r="Z17" s="651">
        <f t="shared" si="2"/>
        <v>6.25</v>
      </c>
      <c r="AA17" s="651">
        <f t="shared" si="2"/>
        <v>-19.903846153846153</v>
      </c>
      <c r="AB17" s="651">
        <f t="shared" si="2"/>
        <v>-49.134615384615387</v>
      </c>
      <c r="AC17" s="659"/>
      <c r="AD17" s="651">
        <f t="shared" si="0"/>
        <v>-90.497737556561091</v>
      </c>
      <c r="AE17" s="651">
        <f t="shared" si="0"/>
        <v>-58.682126696832583</v>
      </c>
      <c r="AF17" s="651">
        <f t="shared" si="0"/>
        <v>-24.321266968325794</v>
      </c>
      <c r="AG17" s="651">
        <f t="shared" si="0"/>
        <v>12.584841628959277</v>
      </c>
      <c r="AH17" s="612">
        <f t="shared" si="0"/>
        <v>52.036199095022631</v>
      </c>
    </row>
    <row r="18" spans="3:34" ht="13.5" thickBot="1">
      <c r="C18" s="663" t="s">
        <v>347</v>
      </c>
      <c r="D18" s="664">
        <f>F6</f>
        <v>70</v>
      </c>
      <c r="E18" s="666">
        <f>0.75*D18</f>
        <v>52.5</v>
      </c>
      <c r="F18" s="666">
        <f>D6</f>
        <v>60</v>
      </c>
      <c r="G18" s="665">
        <f>IF((((2.5*F18)^0.5)*3.6)&gt;140,140,((2.5*F18)^0.5)*3.6)</f>
        <v>44.090815370097204</v>
      </c>
      <c r="H18" s="667">
        <v>2</v>
      </c>
      <c r="I18" s="677">
        <f>I6</f>
        <v>0</v>
      </c>
      <c r="J18" s="664">
        <f>IF(D18&lt;=60,30,IF(D18&lt;=80,60,IF(D18&gt;80,90)))</f>
        <v>60</v>
      </c>
      <c r="K18" s="615">
        <f>IF(((E18^2-G18^2)/26/(H18+I18/10)-M18)&gt;100,((E18^2-G18^2)/26/(H18+I18/10)-M18),100)</f>
        <v>100</v>
      </c>
      <c r="L18" s="666"/>
      <c r="M18" s="678"/>
      <c r="N18" s="670">
        <f>M18+K18+J18</f>
        <v>160</v>
      </c>
      <c r="P18" s="1238"/>
      <c r="Q18" s="651">
        <v>120</v>
      </c>
      <c r="R18" s="651">
        <f t="shared" si="1"/>
        <v>124.61538461538461</v>
      </c>
      <c r="S18" s="651">
        <f t="shared" si="2"/>
        <v>123.07692307692307</v>
      </c>
      <c r="T18" s="651">
        <f t="shared" si="2"/>
        <v>118.46153846153845</v>
      </c>
      <c r="U18" s="651">
        <f t="shared" si="2"/>
        <v>110.76923076923076</v>
      </c>
      <c r="V18" s="651">
        <f t="shared" si="2"/>
        <v>100</v>
      </c>
      <c r="W18" s="651">
        <f t="shared" si="2"/>
        <v>86.15384615384616</v>
      </c>
      <c r="X18" s="651">
        <f t="shared" si="2"/>
        <v>69.230769230769226</v>
      </c>
      <c r="Y18" s="651">
        <f t="shared" si="2"/>
        <v>49.230769230769234</v>
      </c>
      <c r="Z18" s="651">
        <f t="shared" si="2"/>
        <v>26.153846153846153</v>
      </c>
      <c r="AA18" s="651">
        <f t="shared" si="2"/>
        <v>0</v>
      </c>
      <c r="AB18" s="651">
        <f t="shared" si="2"/>
        <v>-29.230769230769234</v>
      </c>
      <c r="AC18" s="651">
        <f t="shared" si="2"/>
        <v>-61.538461538461533</v>
      </c>
      <c r="AD18" s="659"/>
      <c r="AE18" s="651">
        <f t="shared" si="0"/>
        <v>-110.71832579185521</v>
      </c>
      <c r="AF18" s="651">
        <f t="shared" si="0"/>
        <v>-76.357466063348426</v>
      </c>
      <c r="AG18" s="651">
        <f t="shared" si="0"/>
        <v>-39.451357466063349</v>
      </c>
      <c r="AH18" s="612">
        <f t="shared" si="0"/>
        <v>0</v>
      </c>
    </row>
    <row r="19" spans="3:34">
      <c r="C19" s="183"/>
      <c r="D19" s="183"/>
      <c r="E19" s="183"/>
      <c r="F19" s="183"/>
      <c r="G19" s="183"/>
      <c r="P19" s="1238"/>
      <c r="Q19" s="651">
        <v>130</v>
      </c>
      <c r="R19" s="651">
        <f t="shared" si="1"/>
        <v>146.25</v>
      </c>
      <c r="S19" s="651">
        <f t="shared" si="2"/>
        <v>144.71153846153845</v>
      </c>
      <c r="T19" s="651">
        <f t="shared" si="2"/>
        <v>140.09615384615387</v>
      </c>
      <c r="U19" s="651">
        <f t="shared" si="2"/>
        <v>132.40384615384613</v>
      </c>
      <c r="V19" s="651">
        <f t="shared" si="2"/>
        <v>121.63461538461539</v>
      </c>
      <c r="W19" s="651">
        <f t="shared" si="2"/>
        <v>107.78846153846155</v>
      </c>
      <c r="X19" s="651">
        <f t="shared" si="2"/>
        <v>90.865384615384613</v>
      </c>
      <c r="Y19" s="651">
        <f t="shared" si="2"/>
        <v>70.865384615384613</v>
      </c>
      <c r="Z19" s="651">
        <f t="shared" si="2"/>
        <v>47.788461538461533</v>
      </c>
      <c r="AA19" s="651">
        <f t="shared" si="2"/>
        <v>21.634615384615383</v>
      </c>
      <c r="AB19" s="651">
        <f t="shared" si="2"/>
        <v>-7.5961538461538467</v>
      </c>
      <c r="AC19" s="651">
        <f t="shared" si="2"/>
        <v>-39.903846153846153</v>
      </c>
      <c r="AD19" s="651">
        <f t="shared" si="2"/>
        <v>-75.288461538461533</v>
      </c>
      <c r="AE19" s="659"/>
      <c r="AF19" s="651">
        <f t="shared" si="0"/>
        <v>-132.91855203619909</v>
      </c>
      <c r="AG19" s="651">
        <f t="shared" si="0"/>
        <v>-96.012443438914019</v>
      </c>
      <c r="AH19" s="612">
        <f t="shared" si="0"/>
        <v>-56.561085972850684</v>
      </c>
    </row>
    <row r="20" spans="3:34">
      <c r="C20" s="183"/>
      <c r="D20" s="183"/>
      <c r="E20" s="183"/>
      <c r="F20" s="183"/>
      <c r="G20" s="183"/>
      <c r="P20" s="1238"/>
      <c r="Q20" s="651">
        <v>140</v>
      </c>
      <c r="R20" s="651">
        <f t="shared" si="1"/>
        <v>169.61538461538461</v>
      </c>
      <c r="S20" s="651">
        <f t="shared" si="2"/>
        <v>168.07692307692307</v>
      </c>
      <c r="T20" s="651">
        <f t="shared" si="2"/>
        <v>163.46153846153845</v>
      </c>
      <c r="U20" s="651">
        <f t="shared" si="2"/>
        <v>155.76923076923077</v>
      </c>
      <c r="V20" s="651">
        <f t="shared" si="2"/>
        <v>145</v>
      </c>
      <c r="W20" s="651">
        <f t="shared" si="2"/>
        <v>131.15384615384613</v>
      </c>
      <c r="X20" s="651">
        <f t="shared" si="2"/>
        <v>114.23076923076924</v>
      </c>
      <c r="Y20" s="651">
        <f t="shared" si="2"/>
        <v>94.230769230769226</v>
      </c>
      <c r="Z20" s="651">
        <f t="shared" si="2"/>
        <v>71.15384615384616</v>
      </c>
      <c r="AA20" s="651">
        <f t="shared" si="2"/>
        <v>45</v>
      </c>
      <c r="AB20" s="651">
        <f t="shared" si="2"/>
        <v>15.769230769230768</v>
      </c>
      <c r="AC20" s="651">
        <f t="shared" si="2"/>
        <v>-16.53846153846154</v>
      </c>
      <c r="AD20" s="651">
        <f t="shared" si="2"/>
        <v>-51.923076923076927</v>
      </c>
      <c r="AE20" s="651">
        <f t="shared" si="2"/>
        <v>-90.384615384615387</v>
      </c>
      <c r="AF20" s="659"/>
      <c r="AG20" s="651">
        <f t="shared" si="0"/>
        <v>-157.09841628959276</v>
      </c>
      <c r="AH20" s="612">
        <f t="shared" si="0"/>
        <v>-117.64705882352942</v>
      </c>
    </row>
    <row r="21" spans="3:34">
      <c r="J21" s="679" t="s">
        <v>348</v>
      </c>
      <c r="K21" s="680"/>
      <c r="L21" s="681"/>
      <c r="M21" s="681"/>
      <c r="N21" s="682"/>
      <c r="P21" s="1238"/>
      <c r="Q21" s="651">
        <v>150</v>
      </c>
      <c r="R21" s="651">
        <f t="shared" si="1"/>
        <v>194.71153846153845</v>
      </c>
      <c r="S21" s="651">
        <f t="shared" si="2"/>
        <v>193.17307692307693</v>
      </c>
      <c r="T21" s="651">
        <f t="shared" si="2"/>
        <v>188.55769230769232</v>
      </c>
      <c r="U21" s="651">
        <f t="shared" si="2"/>
        <v>180.86538461538461</v>
      </c>
      <c r="V21" s="651">
        <f t="shared" si="2"/>
        <v>170.09615384615387</v>
      </c>
      <c r="W21" s="651">
        <f t="shared" si="2"/>
        <v>156.25</v>
      </c>
      <c r="X21" s="651">
        <f t="shared" si="2"/>
        <v>139.32692307692307</v>
      </c>
      <c r="Y21" s="651">
        <f t="shared" si="2"/>
        <v>119.32692307692307</v>
      </c>
      <c r="Z21" s="651">
        <f t="shared" si="2"/>
        <v>96.25</v>
      </c>
      <c r="AA21" s="651">
        <f t="shared" si="2"/>
        <v>70.09615384615384</v>
      </c>
      <c r="AB21" s="651">
        <f t="shared" si="2"/>
        <v>40.865384615384613</v>
      </c>
      <c r="AC21" s="651">
        <f t="shared" si="2"/>
        <v>8.5576923076923084</v>
      </c>
      <c r="AD21" s="651">
        <f t="shared" si="2"/>
        <v>-26.826923076923077</v>
      </c>
      <c r="AE21" s="651">
        <f t="shared" si="2"/>
        <v>-65.288461538461533</v>
      </c>
      <c r="AF21" s="651">
        <f t="shared" si="2"/>
        <v>-106.82692307692307</v>
      </c>
      <c r="AG21" s="659"/>
      <c r="AH21" s="612">
        <f t="shared" si="0"/>
        <v>-183.25791855203622</v>
      </c>
    </row>
    <row r="22" spans="3:34" ht="13.5" thickBot="1">
      <c r="P22" s="1239"/>
      <c r="Q22" s="665">
        <v>160</v>
      </c>
      <c r="R22" s="665">
        <f t="shared" si="1"/>
        <v>221.53846153846152</v>
      </c>
      <c r="S22" s="665">
        <f t="shared" si="2"/>
        <v>220</v>
      </c>
      <c r="T22" s="665">
        <f t="shared" si="2"/>
        <v>215.38461538461539</v>
      </c>
      <c r="U22" s="665">
        <f t="shared" si="2"/>
        <v>207.69230769230771</v>
      </c>
      <c r="V22" s="665">
        <f t="shared" si="2"/>
        <v>196.92307692307693</v>
      </c>
      <c r="W22" s="665">
        <f t="shared" si="2"/>
        <v>183.07692307692307</v>
      </c>
      <c r="X22" s="665">
        <f t="shared" si="2"/>
        <v>166.15384615384613</v>
      </c>
      <c r="Y22" s="665">
        <f t="shared" si="2"/>
        <v>146.15384615384613</v>
      </c>
      <c r="Z22" s="665">
        <f t="shared" si="2"/>
        <v>123.07692307692307</v>
      </c>
      <c r="AA22" s="665">
        <f t="shared" si="2"/>
        <v>96.923076923076934</v>
      </c>
      <c r="AB22" s="665">
        <f t="shared" si="2"/>
        <v>67.692307692307693</v>
      </c>
      <c r="AC22" s="665">
        <f t="shared" si="2"/>
        <v>35.384615384615387</v>
      </c>
      <c r="AD22" s="665">
        <f t="shared" si="2"/>
        <v>0</v>
      </c>
      <c r="AE22" s="665">
        <f t="shared" si="2"/>
        <v>-38.461538461538467</v>
      </c>
      <c r="AF22" s="665">
        <f t="shared" si="2"/>
        <v>-80</v>
      </c>
      <c r="AG22" s="665">
        <f t="shared" si="2"/>
        <v>-124.61538461538461</v>
      </c>
      <c r="AH22" s="683"/>
    </row>
    <row r="23" spans="3:34" ht="13.5" thickBot="1">
      <c r="J23" s="1170" t="s">
        <v>378</v>
      </c>
      <c r="K23" s="1171"/>
      <c r="L23" s="1171"/>
      <c r="M23" s="1172"/>
      <c r="N23" s="181"/>
    </row>
    <row r="24" spans="3:34" ht="13.5" thickBot="1">
      <c r="D24" s="284"/>
      <c r="E24" s="635"/>
      <c r="F24" s="672" t="s">
        <v>304</v>
      </c>
      <c r="G24" s="195" t="s">
        <v>303</v>
      </c>
      <c r="J24" s="684" t="s">
        <v>301</v>
      </c>
      <c r="K24" s="685" t="s">
        <v>302</v>
      </c>
      <c r="L24" s="686" t="s">
        <v>297</v>
      </c>
      <c r="M24" s="687" t="s">
        <v>282</v>
      </c>
      <c r="N24" s="181"/>
      <c r="O24" s="181"/>
    </row>
    <row r="25" spans="3:34" ht="13.5" thickBot="1">
      <c r="D25" s="479" t="s">
        <v>502</v>
      </c>
      <c r="E25" s="688">
        <v>0.75</v>
      </c>
      <c r="F25" s="276">
        <v>1.7</v>
      </c>
      <c r="G25" s="618">
        <v>2.5</v>
      </c>
      <c r="J25" s="689">
        <v>10</v>
      </c>
      <c r="K25" s="690">
        <v>0</v>
      </c>
      <c r="L25" s="691">
        <f>(J25-K25)*(J25+K25)/2/12.96/M25</f>
        <v>1.5432098765432098</v>
      </c>
      <c r="M25" s="692">
        <v>2.5</v>
      </c>
      <c r="N25" s="181"/>
      <c r="O25" s="181"/>
    </row>
    <row r="26" spans="3:34" ht="13.5" thickBot="1">
      <c r="D26" s="479" t="s">
        <v>307</v>
      </c>
      <c r="E26" s="276">
        <v>140</v>
      </c>
      <c r="F26" s="693">
        <f>SQRT((E28)^2+25.92*F25*E27)/E25</f>
        <v>79.373547230799758</v>
      </c>
      <c r="G26" s="278">
        <f>SQRT((E28)^2+25.92*G25*E27)/E25</f>
        <v>92.260500757366387</v>
      </c>
      <c r="J26" s="694">
        <f>SQRT(L26*2*12.96*M25)</f>
        <v>98.590060350929903</v>
      </c>
      <c r="K26" s="695">
        <v>0</v>
      </c>
      <c r="L26" s="696">
        <v>150</v>
      </c>
      <c r="N26" s="181"/>
      <c r="O26" s="181"/>
    </row>
    <row r="27" spans="3:34">
      <c r="D27" s="697" t="s">
        <v>51</v>
      </c>
      <c r="E27" s="276">
        <v>60</v>
      </c>
      <c r="F27" s="693">
        <f>ABS((E28/3.6)^2-(E26*E25/3.6)^2)/2/F25</f>
        <v>229.77941176470586</v>
      </c>
      <c r="G27" s="278">
        <f>ABS((E28/3.6)^2-(E26*E25/3.6)^2)/2/G25</f>
        <v>156.24999999999997</v>
      </c>
      <c r="K27" s="181"/>
      <c r="L27" s="181"/>
      <c r="N27" s="181"/>
      <c r="O27" s="181"/>
    </row>
    <row r="28" spans="3:34" ht="13.5" thickBot="1">
      <c r="D28" s="698" t="s">
        <v>501</v>
      </c>
      <c r="E28" s="205">
        <v>30</v>
      </c>
      <c r="F28" s="637">
        <f>SQRT((E26*E25)^2-25.92*F25*E27)</f>
        <v>91.548675577530886</v>
      </c>
      <c r="G28" s="265">
        <f>SQRT((E26*E25)^2-25.92*G25*E27)</f>
        <v>84.480767041972328</v>
      </c>
      <c r="N28" s="181"/>
    </row>
    <row r="29" spans="3:34" ht="13.5" thickBot="1">
      <c r="K29" s="284" t="s">
        <v>250</v>
      </c>
      <c r="L29" s="699">
        <v>0.75</v>
      </c>
      <c r="M29" s="700">
        <v>0.75</v>
      </c>
      <c r="N29" s="181"/>
      <c r="O29" s="181"/>
    </row>
    <row r="30" spans="3:34" ht="13.5" thickBot="1">
      <c r="D30" s="1246" t="s">
        <v>379</v>
      </c>
      <c r="E30" s="1247"/>
      <c r="F30" s="1248"/>
      <c r="K30" s="592" t="s">
        <v>282</v>
      </c>
      <c r="L30" s="205">
        <v>2.5</v>
      </c>
      <c r="M30" s="551">
        <v>1.7</v>
      </c>
      <c r="N30" s="181"/>
      <c r="O30" s="181"/>
    </row>
    <row r="31" spans="3:34" ht="13.5" thickBot="1">
      <c r="D31" s="304" t="s">
        <v>19</v>
      </c>
      <c r="E31" s="332">
        <v>200</v>
      </c>
      <c r="F31" s="333">
        <f>(2.5*E31)^0.5*3.6</f>
        <v>80.498447189992433</v>
      </c>
      <c r="K31" s="181"/>
      <c r="L31" s="181"/>
      <c r="M31" s="181"/>
      <c r="N31" s="181"/>
      <c r="O31" s="181"/>
    </row>
    <row r="32" spans="3:34" ht="13.5" thickBot="1">
      <c r="D32" s="336" t="s">
        <v>916</v>
      </c>
      <c r="E32" s="342">
        <v>60</v>
      </c>
      <c r="F32" s="343">
        <f>E32^2/32.4</f>
        <v>111.11111111111111</v>
      </c>
      <c r="J32" s="194" t="s">
        <v>307</v>
      </c>
      <c r="K32" s="672" t="s">
        <v>501</v>
      </c>
      <c r="L32" s="672" t="s">
        <v>303</v>
      </c>
      <c r="M32" s="195" t="s">
        <v>304</v>
      </c>
    </row>
    <row r="33" spans="3:15" ht="13.5" thickBot="1">
      <c r="J33" s="287">
        <v>120</v>
      </c>
      <c r="K33" s="701">
        <v>50</v>
      </c>
      <c r="L33" s="702">
        <f>ABS((J33*L29/3.6)^2-(K33/3.6)^2)/2/L30</f>
        <v>86.419753086419746</v>
      </c>
      <c r="M33" s="703">
        <f>ABS((K33/3.6)^2-(J33*M29/3.6)^2)/2/M30</f>
        <v>127.08787218591139</v>
      </c>
    </row>
    <row r="34" spans="3:15" ht="13.5" thickBot="1">
      <c r="J34" s="704"/>
      <c r="K34" s="705">
        <v>1</v>
      </c>
      <c r="L34" s="637">
        <f>ABS((K33/3.6)^2-(J33/3.6)^2)/2/L30</f>
        <v>183.641975308642</v>
      </c>
      <c r="M34" s="265">
        <f>ABS((K33/3.6)^2-(J33/3.6)^2)/2/M30</f>
        <v>270.06172839506178</v>
      </c>
    </row>
    <row r="35" spans="3:15" ht="13.5" thickBot="1">
      <c r="C35" s="706"/>
      <c r="D35" s="706"/>
      <c r="E35" s="706"/>
      <c r="F35" s="706"/>
      <c r="J35" s="706"/>
      <c r="K35" s="706"/>
      <c r="L35" s="706"/>
      <c r="M35" s="706"/>
    </row>
    <row r="36" spans="3:15">
      <c r="J36" s="707" t="s">
        <v>307</v>
      </c>
      <c r="K36" s="708" t="s">
        <v>51</v>
      </c>
      <c r="L36" s="708" t="s">
        <v>305</v>
      </c>
      <c r="M36" s="709" t="s">
        <v>306</v>
      </c>
    </row>
    <row r="37" spans="3:15" ht="13.5" thickBot="1">
      <c r="J37" s="287">
        <v>140</v>
      </c>
      <c r="K37" s="701">
        <v>120</v>
      </c>
      <c r="L37" s="702">
        <f>SQRT((J37*L29)^2-25.92*L30*K37)</f>
        <v>56.999999999999986</v>
      </c>
      <c r="M37" s="703">
        <f>SQRT((J37*M29)^2-25.92*M30*K37)</f>
        <v>75.745098851344835</v>
      </c>
    </row>
    <row r="38" spans="3:15" ht="13.5" thickBot="1">
      <c r="J38" s="704"/>
      <c r="K38" s="705">
        <v>1</v>
      </c>
      <c r="L38" s="637">
        <f>SQRT(J37^2-25.92*L30*K37)</f>
        <v>108.73821775254548</v>
      </c>
      <c r="M38" s="265">
        <f>SQRT(J37^2-25.92*M30*K37)</f>
        <v>119.63410884860555</v>
      </c>
      <c r="N38" s="181"/>
      <c r="O38" s="181"/>
    </row>
    <row r="39" spans="3:15" ht="13.5" thickBot="1">
      <c r="J39" s="704"/>
      <c r="K39" s="704"/>
      <c r="L39" s="710"/>
      <c r="M39" s="710"/>
      <c r="N39" s="181"/>
      <c r="O39" s="181"/>
    </row>
    <row r="40" spans="3:15" ht="12.75" customHeight="1">
      <c r="D40" s="1240" t="s">
        <v>277</v>
      </c>
      <c r="E40" s="1241"/>
      <c r="F40" s="1241"/>
      <c r="G40" s="1242"/>
      <c r="J40" s="707" t="s">
        <v>501</v>
      </c>
      <c r="K40" s="708" t="s">
        <v>51</v>
      </c>
      <c r="L40" s="708" t="s">
        <v>308</v>
      </c>
      <c r="M40" s="709" t="s">
        <v>309</v>
      </c>
      <c r="N40" s="181"/>
      <c r="O40" s="181"/>
    </row>
    <row r="41" spans="3:15" ht="13.5" thickBot="1">
      <c r="D41" s="1243"/>
      <c r="E41" s="1244"/>
      <c r="F41" s="1244"/>
      <c r="G41" s="1245"/>
      <c r="J41" s="287">
        <v>90</v>
      </c>
      <c r="K41" s="701">
        <v>120</v>
      </c>
      <c r="L41" s="702">
        <f>SQRT((J41)^2+25.92*L30*K41)/L29</f>
        <v>168.00000000000003</v>
      </c>
      <c r="M41" s="703">
        <f>SQRT((J41)^2+25.92*M30*K41)/M29</f>
        <v>154.27352332788669</v>
      </c>
      <c r="N41" s="181"/>
      <c r="O41" s="181"/>
    </row>
    <row r="42" spans="3:15" ht="13.5" thickBot="1">
      <c r="D42" s="176" t="s">
        <v>51</v>
      </c>
      <c r="E42" s="711">
        <v>40</v>
      </c>
      <c r="F42" s="712" t="s">
        <v>106</v>
      </c>
      <c r="G42" s="713">
        <v>4</v>
      </c>
      <c r="J42" s="704"/>
      <c r="K42" s="705">
        <v>1</v>
      </c>
      <c r="L42" s="637">
        <f>SQRT(J41^2+25.92*L30*K41)</f>
        <v>126.00000000000001</v>
      </c>
      <c r="M42" s="265">
        <f>SQRT(J41^2+25.92*M30*K41)</f>
        <v>115.70514249591503</v>
      </c>
      <c r="N42" s="181"/>
      <c r="O42" s="181"/>
    </row>
    <row r="43" spans="3:15">
      <c r="D43" s="714">
        <v>0</v>
      </c>
      <c r="E43" s="715">
        <f t="shared" ref="E43:E63" si="3">D43*$E$42</f>
        <v>0</v>
      </c>
      <c r="F43" s="716">
        <v>0</v>
      </c>
      <c r="G43" s="717">
        <f t="shared" ref="G43:G63" si="4">F43*$G$42</f>
        <v>0</v>
      </c>
      <c r="L43" s="181"/>
      <c r="M43" s="181"/>
      <c r="N43" s="181"/>
      <c r="O43" s="181"/>
    </row>
    <row r="44" spans="3:15">
      <c r="D44" s="718">
        <v>0.05</v>
      </c>
      <c r="E44" s="719">
        <f t="shared" si="3"/>
        <v>2</v>
      </c>
      <c r="F44" s="720">
        <v>5.0000000000000001E-3</v>
      </c>
      <c r="G44" s="721">
        <f t="shared" si="4"/>
        <v>0.02</v>
      </c>
      <c r="M44" s="181"/>
      <c r="N44" s="181"/>
      <c r="O44" s="181"/>
    </row>
    <row r="45" spans="3:15">
      <c r="D45" s="718">
        <v>0.1</v>
      </c>
      <c r="E45" s="719">
        <f t="shared" si="3"/>
        <v>4</v>
      </c>
      <c r="F45" s="720">
        <v>0.02</v>
      </c>
      <c r="G45" s="721">
        <f t="shared" si="4"/>
        <v>0.08</v>
      </c>
      <c r="M45" s="181"/>
      <c r="N45" s="181"/>
      <c r="O45" s="181"/>
    </row>
    <row r="46" spans="3:15">
      <c r="D46" s="718">
        <v>0.15</v>
      </c>
      <c r="E46" s="719">
        <f t="shared" si="3"/>
        <v>6</v>
      </c>
      <c r="F46" s="720">
        <v>4.4999999999999998E-2</v>
      </c>
      <c r="G46" s="721">
        <f t="shared" si="4"/>
        <v>0.18</v>
      </c>
      <c r="M46" s="181"/>
      <c r="N46" s="181"/>
      <c r="O46" s="181"/>
    </row>
    <row r="47" spans="3:15">
      <c r="D47" s="718">
        <v>0.2</v>
      </c>
      <c r="E47" s="719">
        <f t="shared" si="3"/>
        <v>8</v>
      </c>
      <c r="F47" s="720">
        <v>0.08</v>
      </c>
      <c r="G47" s="721">
        <f t="shared" si="4"/>
        <v>0.32</v>
      </c>
      <c r="M47" s="181"/>
      <c r="N47" s="181"/>
      <c r="O47" s="181"/>
    </row>
    <row r="48" spans="3:15">
      <c r="D48" s="718">
        <v>0.25</v>
      </c>
      <c r="E48" s="719">
        <f t="shared" si="3"/>
        <v>10</v>
      </c>
      <c r="F48" s="720">
        <v>0.125</v>
      </c>
      <c r="G48" s="721">
        <f t="shared" si="4"/>
        <v>0.5</v>
      </c>
      <c r="M48" s="181"/>
      <c r="N48" s="181"/>
      <c r="O48" s="181"/>
    </row>
    <row r="49" spans="4:15">
      <c r="D49" s="718">
        <v>0.3</v>
      </c>
      <c r="E49" s="719">
        <f t="shared" si="3"/>
        <v>12</v>
      </c>
      <c r="F49" s="720">
        <v>0.18</v>
      </c>
      <c r="G49" s="721">
        <f t="shared" si="4"/>
        <v>0.72</v>
      </c>
      <c r="M49" s="181"/>
      <c r="N49" s="181"/>
      <c r="O49" s="181"/>
    </row>
    <row r="50" spans="4:15">
      <c r="D50" s="718">
        <v>0.35</v>
      </c>
      <c r="E50" s="719">
        <f t="shared" si="3"/>
        <v>14</v>
      </c>
      <c r="F50" s="720">
        <v>0.245</v>
      </c>
      <c r="G50" s="721">
        <f t="shared" si="4"/>
        <v>0.98</v>
      </c>
    </row>
    <row r="51" spans="4:15">
      <c r="D51" s="718">
        <v>0.4</v>
      </c>
      <c r="E51" s="719">
        <f t="shared" si="3"/>
        <v>16</v>
      </c>
      <c r="F51" s="720">
        <v>0.32</v>
      </c>
      <c r="G51" s="721">
        <f t="shared" si="4"/>
        <v>1.28</v>
      </c>
    </row>
    <row r="52" spans="4:15">
      <c r="D52" s="718">
        <v>0.45</v>
      </c>
      <c r="E52" s="719">
        <f t="shared" si="3"/>
        <v>18</v>
      </c>
      <c r="F52" s="720">
        <v>0.40500000000000003</v>
      </c>
      <c r="G52" s="721">
        <f t="shared" si="4"/>
        <v>1.62</v>
      </c>
    </row>
    <row r="53" spans="4:15">
      <c r="D53" s="718">
        <v>0.5</v>
      </c>
      <c r="E53" s="719">
        <f t="shared" si="3"/>
        <v>20</v>
      </c>
      <c r="F53" s="720">
        <v>0.5</v>
      </c>
      <c r="G53" s="721">
        <f t="shared" si="4"/>
        <v>2</v>
      </c>
    </row>
    <row r="54" spans="4:15">
      <c r="D54" s="718">
        <v>0.55000000000000004</v>
      </c>
      <c r="E54" s="719">
        <f t="shared" si="3"/>
        <v>22</v>
      </c>
      <c r="F54" s="720">
        <v>0.59499999999999997</v>
      </c>
      <c r="G54" s="721">
        <f t="shared" si="4"/>
        <v>2.38</v>
      </c>
    </row>
    <row r="55" spans="4:15">
      <c r="D55" s="718">
        <v>0.6</v>
      </c>
      <c r="E55" s="719">
        <f t="shared" si="3"/>
        <v>24</v>
      </c>
      <c r="F55" s="720">
        <v>0.68</v>
      </c>
      <c r="G55" s="721">
        <f t="shared" si="4"/>
        <v>2.72</v>
      </c>
    </row>
    <row r="56" spans="4:15">
      <c r="D56" s="718">
        <v>0.65</v>
      </c>
      <c r="E56" s="719">
        <f t="shared" si="3"/>
        <v>26</v>
      </c>
      <c r="F56" s="720">
        <v>0.755</v>
      </c>
      <c r="G56" s="721">
        <f t="shared" si="4"/>
        <v>3.02</v>
      </c>
    </row>
    <row r="57" spans="4:15">
      <c r="D57" s="718">
        <v>0.7</v>
      </c>
      <c r="E57" s="719">
        <f t="shared" si="3"/>
        <v>28</v>
      </c>
      <c r="F57" s="720">
        <v>0.82</v>
      </c>
      <c r="G57" s="721">
        <f t="shared" si="4"/>
        <v>3.28</v>
      </c>
    </row>
    <row r="58" spans="4:15">
      <c r="D58" s="718">
        <v>0.75</v>
      </c>
      <c r="E58" s="719">
        <f t="shared" si="3"/>
        <v>30</v>
      </c>
      <c r="F58" s="720">
        <v>0.875</v>
      </c>
      <c r="G58" s="721">
        <f t="shared" si="4"/>
        <v>3.5</v>
      </c>
    </row>
    <row r="59" spans="4:15">
      <c r="D59" s="718">
        <v>0.8</v>
      </c>
      <c r="E59" s="719">
        <f t="shared" si="3"/>
        <v>32</v>
      </c>
      <c r="F59" s="720">
        <v>0.92</v>
      </c>
      <c r="G59" s="721">
        <f t="shared" si="4"/>
        <v>3.68</v>
      </c>
    </row>
    <row r="60" spans="4:15">
      <c r="D60" s="718">
        <v>0.85</v>
      </c>
      <c r="E60" s="719">
        <f t="shared" si="3"/>
        <v>34</v>
      </c>
      <c r="F60" s="720">
        <v>0.95499999999999996</v>
      </c>
      <c r="G60" s="721">
        <f t="shared" si="4"/>
        <v>3.82</v>
      </c>
    </row>
    <row r="61" spans="4:15">
      <c r="D61" s="718">
        <v>0.9</v>
      </c>
      <c r="E61" s="719">
        <f t="shared" si="3"/>
        <v>36</v>
      </c>
      <c r="F61" s="720">
        <v>0.98</v>
      </c>
      <c r="G61" s="721">
        <f t="shared" si="4"/>
        <v>3.92</v>
      </c>
    </row>
    <row r="62" spans="4:15">
      <c r="D62" s="718">
        <v>0.95</v>
      </c>
      <c r="E62" s="719">
        <f t="shared" si="3"/>
        <v>38</v>
      </c>
      <c r="F62" s="720">
        <v>0.995</v>
      </c>
      <c r="G62" s="721">
        <f t="shared" si="4"/>
        <v>3.98</v>
      </c>
    </row>
    <row r="63" spans="4:15" ht="13.5" thickBot="1">
      <c r="D63" s="722">
        <v>1</v>
      </c>
      <c r="E63" s="723">
        <f t="shared" si="3"/>
        <v>40</v>
      </c>
      <c r="F63" s="724">
        <v>1</v>
      </c>
      <c r="G63" s="725">
        <f t="shared" si="4"/>
        <v>4</v>
      </c>
    </row>
    <row r="64" spans="4:15">
      <c r="J64" s="182"/>
    </row>
    <row r="65" spans="10:10">
      <c r="J65" s="182"/>
    </row>
    <row r="66" spans="10:10">
      <c r="J66" s="182"/>
    </row>
  </sheetData>
  <mergeCells count="7">
    <mergeCell ref="R4:AH4"/>
    <mergeCell ref="P6:P22"/>
    <mergeCell ref="D40:G41"/>
    <mergeCell ref="D30:F30"/>
    <mergeCell ref="J23:M23"/>
    <mergeCell ref="C4:N4"/>
    <mergeCell ref="C13:N1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0"/>
  <dimension ref="C1:J22"/>
  <sheetViews>
    <sheetView zoomScale="130" zoomScaleNormal="130" workbookViewId="0">
      <selection activeCell="F9" sqref="F9"/>
    </sheetView>
  </sheetViews>
  <sheetFormatPr defaultRowHeight="12.75"/>
  <cols>
    <col min="1" max="2" width="2.85546875" style="181" customWidth="1"/>
    <col min="3" max="3" width="22.28515625" style="181" customWidth="1"/>
    <col min="4" max="4" width="7.5703125" style="181" customWidth="1"/>
    <col min="5" max="5" width="7.5703125" style="726" customWidth="1"/>
    <col min="6" max="7" width="7.5703125" style="181" customWidth="1"/>
    <col min="8" max="8" width="5.7109375" style="181" bestFit="1" customWidth="1"/>
    <col min="9" max="9" width="10.42578125" style="181" bestFit="1" customWidth="1"/>
    <col min="10" max="10" width="5.7109375" style="181" bestFit="1" customWidth="1"/>
    <col min="11" max="11" width="4.5703125" style="181" customWidth="1"/>
    <col min="12" max="16384" width="9.140625" style="181"/>
  </cols>
  <sheetData>
    <row r="1" spans="3:10" ht="13.5" thickBot="1">
      <c r="C1" s="803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2" spans="3:10" ht="13.5" thickBot="1"/>
    <row r="3" spans="3:10" ht="13.5" thickBot="1">
      <c r="C3" s="1251" t="s">
        <v>797</v>
      </c>
      <c r="D3" s="1252"/>
      <c r="E3" s="1252"/>
      <c r="F3" s="1252"/>
      <c r="G3" s="1253"/>
    </row>
    <row r="4" spans="3:10">
      <c r="C4" s="727" t="s">
        <v>370</v>
      </c>
      <c r="D4" s="728">
        <v>1200</v>
      </c>
      <c r="E4" s="729"/>
      <c r="F4" s="730" t="s">
        <v>376</v>
      </c>
      <c r="G4" s="731" t="s">
        <v>377</v>
      </c>
    </row>
    <row r="5" spans="3:10">
      <c r="C5" s="732" t="s">
        <v>369</v>
      </c>
      <c r="D5" s="733">
        <v>600</v>
      </c>
      <c r="E5" s="729"/>
      <c r="F5" s="734">
        <v>6.25</v>
      </c>
      <c r="G5" s="628" t="s">
        <v>6</v>
      </c>
    </row>
    <row r="6" spans="3:10">
      <c r="C6" s="732" t="s">
        <v>794</v>
      </c>
      <c r="D6" s="735">
        <f>D4-D5</f>
        <v>600</v>
      </c>
      <c r="E6" s="729"/>
      <c r="F6" s="734">
        <v>12.5</v>
      </c>
      <c r="G6" s="628" t="s">
        <v>8</v>
      </c>
    </row>
    <row r="7" spans="3:10">
      <c r="C7" s="732" t="s">
        <v>72</v>
      </c>
      <c r="D7" s="735">
        <f>D5/D4</f>
        <v>0.5</v>
      </c>
      <c r="E7" s="729"/>
      <c r="F7" s="734">
        <v>17.5</v>
      </c>
      <c r="G7" s="628" t="s">
        <v>9</v>
      </c>
    </row>
    <row r="8" spans="3:10">
      <c r="C8" s="732" t="s">
        <v>343</v>
      </c>
      <c r="D8" s="733">
        <v>2</v>
      </c>
      <c r="E8" s="729"/>
      <c r="F8" s="734">
        <v>22</v>
      </c>
      <c r="G8" s="628" t="s">
        <v>12</v>
      </c>
    </row>
    <row r="9" spans="3:10">
      <c r="C9" s="732" t="s">
        <v>371</v>
      </c>
      <c r="D9" s="733">
        <v>120</v>
      </c>
      <c r="E9" s="729"/>
      <c r="F9" s="734">
        <v>27</v>
      </c>
      <c r="G9" s="628" t="s">
        <v>13</v>
      </c>
    </row>
    <row r="10" spans="3:10">
      <c r="C10" s="736" t="s">
        <v>368</v>
      </c>
      <c r="D10" s="737">
        <v>40</v>
      </c>
      <c r="E10" s="738"/>
      <c r="F10" s="739" t="s">
        <v>753</v>
      </c>
      <c r="G10" s="628" t="s">
        <v>14</v>
      </c>
    </row>
    <row r="11" spans="3:10">
      <c r="C11" s="479"/>
      <c r="D11" s="1250" t="s">
        <v>372</v>
      </c>
      <c r="E11" s="1250"/>
      <c r="F11" s="1250" t="s">
        <v>373</v>
      </c>
      <c r="G11" s="1217"/>
      <c r="H11" s="740"/>
      <c r="I11" s="740"/>
      <c r="J11" s="740"/>
    </row>
    <row r="12" spans="3:10">
      <c r="C12" s="479"/>
      <c r="D12" s="215" t="s">
        <v>683</v>
      </c>
      <c r="E12" s="215" t="s">
        <v>798</v>
      </c>
      <c r="F12" s="215" t="s">
        <v>683</v>
      </c>
      <c r="G12" s="216" t="s">
        <v>798</v>
      </c>
      <c r="H12" s="726"/>
      <c r="I12" s="726"/>
      <c r="J12" s="741"/>
    </row>
    <row r="13" spans="3:10">
      <c r="C13" s="732" t="s">
        <v>282</v>
      </c>
      <c r="D13" s="742">
        <v>0.22600000000000001</v>
      </c>
      <c r="E13" s="742">
        <v>0.02</v>
      </c>
      <c r="F13" s="742">
        <v>0.28000000000000003</v>
      </c>
      <c r="G13" s="743">
        <v>0.02</v>
      </c>
    </row>
    <row r="14" spans="3:10">
      <c r="C14" s="732" t="s">
        <v>209</v>
      </c>
      <c r="D14" s="742">
        <v>2.2000000000000002</v>
      </c>
      <c r="E14" s="742">
        <v>4</v>
      </c>
      <c r="F14" s="742">
        <v>2.2000000000000002</v>
      </c>
      <c r="G14" s="743">
        <v>4</v>
      </c>
    </row>
    <row r="15" spans="3:10">
      <c r="C15" s="732" t="s">
        <v>244</v>
      </c>
      <c r="D15" s="742">
        <v>1</v>
      </c>
      <c r="E15" s="742">
        <v>1.3</v>
      </c>
      <c r="F15" s="742">
        <v>1</v>
      </c>
      <c r="G15" s="743">
        <v>0.88</v>
      </c>
    </row>
    <row r="16" spans="3:10">
      <c r="C16" s="732" t="s">
        <v>297</v>
      </c>
      <c r="D16" s="742">
        <v>0.9</v>
      </c>
      <c r="E16" s="742">
        <v>1</v>
      </c>
      <c r="F16" s="742">
        <v>0.9</v>
      </c>
      <c r="G16" s="743">
        <v>0.6</v>
      </c>
    </row>
    <row r="17" spans="3:7">
      <c r="C17" s="732" t="s">
        <v>799</v>
      </c>
      <c r="D17" s="744">
        <f>(D13*(1+D7)^D14)*((D4/D8)^D15)/(D9/0.3)^D16</f>
        <v>1.5059358330705093</v>
      </c>
      <c r="E17" s="744">
        <f>(E13*(1+D7)^E14)*((D4/D8)^E15)/(D9/0.3)^E16</f>
        <v>1.0349793053406904</v>
      </c>
      <c r="F17" s="744">
        <f>(F13*(1+D7)^F14)*((D4/D8)^F15)/(D9/0.3)^F16</f>
        <v>1.8657612091139055</v>
      </c>
      <c r="G17" s="745">
        <f>(G13*(1+D7)^G14)*((D4/D8)^G15)/(D9/0.3)^G16</f>
        <v>0.77434079036167103</v>
      </c>
    </row>
    <row r="18" spans="3:7">
      <c r="C18" s="732" t="s">
        <v>368</v>
      </c>
      <c r="D18" s="746">
        <f>24+($D$10-16)/(1+D17)</f>
        <v>33.577260392415127</v>
      </c>
      <c r="E18" s="746">
        <f>24+($D$10-16)/(1+E17)</f>
        <v>35.793731728383349</v>
      </c>
      <c r="F18" s="746">
        <f>24+($D$10-16)/(1+F17)</f>
        <v>32.374738245347665</v>
      </c>
      <c r="G18" s="747">
        <f>24+($D$10-16)/(1+G17)</f>
        <v>37.526150179474811</v>
      </c>
    </row>
    <row r="19" spans="3:7">
      <c r="C19" s="732" t="s">
        <v>343</v>
      </c>
      <c r="D19" s="748">
        <f>(2.19*D8*D7^0.571)*((D9/30)^0.234)/(D18/1.6)^0.438</f>
        <v>1.0751393321118021</v>
      </c>
      <c r="E19" s="749"/>
      <c r="F19" s="748">
        <f>(2.19*D8*D7^0.571)*((D9/30)^0.234)/(F18/1.6)^0.438</f>
        <v>1.0924516600485998</v>
      </c>
      <c r="G19" s="750"/>
    </row>
    <row r="20" spans="3:7">
      <c r="C20" s="751" t="s">
        <v>374</v>
      </c>
      <c r="D20" s="748">
        <f>(D5+D6)/(D5/D18+D6/E18)</f>
        <v>34.650086842273787</v>
      </c>
      <c r="E20" s="749"/>
      <c r="F20" s="748">
        <f>(D5+D6)/(D5/F18+D6/G18)</f>
        <v>34.760625130615104</v>
      </c>
      <c r="G20" s="750"/>
    </row>
    <row r="21" spans="3:7">
      <c r="C21" s="751" t="s">
        <v>375</v>
      </c>
      <c r="D21" s="748">
        <f>D4/D8/D20</f>
        <v>17.315973917502227</v>
      </c>
      <c r="E21" s="749"/>
      <c r="F21" s="748">
        <f>D4/D8/F20</f>
        <v>17.260909369306926</v>
      </c>
      <c r="G21" s="750"/>
    </row>
    <row r="22" spans="3:7" ht="13.5" thickBot="1">
      <c r="C22" s="752" t="s">
        <v>795</v>
      </c>
      <c r="D22" s="753" t="str">
        <f>IF(D21&lt;$F$5,"A",IF(D21&lt;$F$6,"B",IF(D21&lt;$F$7,"C",IF(D21&lt;$F$8,"D",IF(D21&lt;$F$9,"E","F")))))</f>
        <v>C</v>
      </c>
      <c r="E22" s="754"/>
      <c r="F22" s="753" t="str">
        <f>IF(F21&lt;$F$5,"A",IF(F21&lt;$F$6,"B",IF(F21&lt;$F$7,"C",IF(F21&lt;$F$8,"D",IF(F21&lt;$F$9,"E","F")))))</f>
        <v>C</v>
      </c>
      <c r="G22" s="755"/>
    </row>
  </sheetData>
  <mergeCells count="3">
    <mergeCell ref="D11:E11"/>
    <mergeCell ref="F11:G11"/>
    <mergeCell ref="C3:G3"/>
  </mergeCells>
  <phoneticPr fontId="10" type="noConversion"/>
  <conditionalFormatting sqref="D19">
    <cfRule type="cellIs" dxfId="6" priority="5" stopIfTrue="1" operator="greaterThanOrEqual">
      <formula>1.4</formula>
    </cfRule>
  </conditionalFormatting>
  <conditionalFormatting sqref="D22">
    <cfRule type="expression" dxfId="5" priority="2">
      <formula>$D$19&lt;1.4</formula>
    </cfRule>
  </conditionalFormatting>
  <conditionalFormatting sqref="F22">
    <cfRule type="expression" dxfId="4" priority="1">
      <formula>$D$19&gt;1.4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1"/>
  <dimension ref="C1:G18"/>
  <sheetViews>
    <sheetView zoomScale="130" zoomScaleNormal="130" workbookViewId="0">
      <selection activeCell="C1" sqref="C1:G1"/>
    </sheetView>
  </sheetViews>
  <sheetFormatPr defaultRowHeight="12.75"/>
  <cols>
    <col min="1" max="2" width="3.7109375" style="181" customWidth="1"/>
    <col min="3" max="3" width="17.85546875" style="181" customWidth="1"/>
    <col min="4" max="4" width="9.140625" style="181"/>
    <col min="5" max="5" width="16.7109375" style="181" customWidth="1"/>
    <col min="6" max="16384" width="9.140625" style="181"/>
  </cols>
  <sheetData>
    <row r="1" spans="3:7" ht="13.5" thickBot="1">
      <c r="C1" s="803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2" spans="3:7" ht="13.5" thickBot="1"/>
    <row r="3" spans="3:7">
      <c r="C3" s="1187" t="s">
        <v>482</v>
      </c>
      <c r="D3" s="1188"/>
      <c r="E3" s="1188"/>
      <c r="F3" s="1189"/>
    </row>
    <row r="4" spans="3:7" ht="13.5" thickBot="1">
      <c r="C4" s="1254" t="s">
        <v>483</v>
      </c>
      <c r="D4" s="1255"/>
      <c r="E4" s="1255"/>
      <c r="F4" s="1256"/>
    </row>
    <row r="5" spans="3:7">
      <c r="C5" s="756" t="s">
        <v>485</v>
      </c>
      <c r="D5" s="757">
        <v>1500</v>
      </c>
      <c r="E5" s="758" t="s">
        <v>486</v>
      </c>
      <c r="F5" s="759">
        <f>IF(D7&gt;=15,0,D5*(15-D7)/15)</f>
        <v>0</v>
      </c>
    </row>
    <row r="6" spans="3:7">
      <c r="C6" s="751" t="s">
        <v>488</v>
      </c>
      <c r="D6" s="760">
        <v>600</v>
      </c>
      <c r="E6" s="761" t="s">
        <v>489</v>
      </c>
      <c r="F6" s="762">
        <f>(D6+2/3*F5)*(1-0.085*(IF(D8&lt;8,8,D8)-8))</f>
        <v>472.5</v>
      </c>
    </row>
    <row r="7" spans="3:7">
      <c r="C7" s="751" t="s">
        <v>484</v>
      </c>
      <c r="D7" s="763">
        <v>23</v>
      </c>
      <c r="E7" s="764"/>
      <c r="F7" s="765"/>
    </row>
    <row r="8" spans="3:7">
      <c r="C8" s="751" t="s">
        <v>487</v>
      </c>
      <c r="D8" s="763">
        <v>10.5</v>
      </c>
      <c r="E8" s="764"/>
      <c r="F8" s="765"/>
    </row>
    <row r="9" spans="3:7" ht="13.5" thickBot="1">
      <c r="C9" s="752" t="s">
        <v>490</v>
      </c>
      <c r="D9" s="766">
        <v>6.5</v>
      </c>
      <c r="E9" s="767" t="s">
        <v>491</v>
      </c>
      <c r="F9" s="768">
        <f>(1330-0.7*F6)*(1+0.1*(D9-3.5))</f>
        <v>1299.0250000000001</v>
      </c>
    </row>
    <row r="11" spans="3:7" ht="13.5" thickBot="1"/>
    <row r="12" spans="3:7">
      <c r="C12" s="1187" t="s">
        <v>492</v>
      </c>
      <c r="D12" s="1188"/>
      <c r="E12" s="1188"/>
      <c r="F12" s="1189"/>
    </row>
    <row r="13" spans="3:7" ht="13.5" thickBot="1">
      <c r="C13" s="1254" t="s">
        <v>493</v>
      </c>
      <c r="D13" s="1255"/>
      <c r="E13" s="1255"/>
      <c r="F13" s="1256"/>
    </row>
    <row r="14" spans="3:7">
      <c r="C14" s="756" t="s">
        <v>485</v>
      </c>
      <c r="D14" s="757">
        <v>1000</v>
      </c>
      <c r="E14" s="758" t="s">
        <v>282</v>
      </c>
      <c r="F14" s="769">
        <f>IF(AND(D16&gt;=20,D17&gt;=8),0.7,IF(AND(D16&lt;20,D17&gt;=8),0.9,1))</f>
        <v>0.7</v>
      </c>
    </row>
    <row r="15" spans="3:7">
      <c r="C15" s="751" t="s">
        <v>488</v>
      </c>
      <c r="D15" s="760">
        <v>1000</v>
      </c>
      <c r="E15" s="761" t="s">
        <v>244</v>
      </c>
      <c r="F15" s="770">
        <f>IF(D18=1,1,1.5)</f>
        <v>1</v>
      </c>
    </row>
    <row r="16" spans="3:7">
      <c r="C16" s="751" t="s">
        <v>180</v>
      </c>
      <c r="D16" s="763">
        <v>20</v>
      </c>
      <c r="E16" s="761" t="s">
        <v>489</v>
      </c>
      <c r="F16" s="762">
        <f>F14*D15+0.2*D14</f>
        <v>900</v>
      </c>
    </row>
    <row r="17" spans="3:6">
      <c r="C17" s="751" t="s">
        <v>487</v>
      </c>
      <c r="D17" s="763">
        <v>10.5</v>
      </c>
      <c r="E17" s="764"/>
      <c r="F17" s="765"/>
    </row>
    <row r="18" spans="3:6" ht="13.5" thickBot="1">
      <c r="C18" s="752" t="s">
        <v>494</v>
      </c>
      <c r="D18" s="766">
        <v>1</v>
      </c>
      <c r="E18" s="767" t="s">
        <v>491</v>
      </c>
      <c r="F18" s="768">
        <f>F15*(1500-0.83*F16)</f>
        <v>753</v>
      </c>
    </row>
  </sheetData>
  <mergeCells count="4">
    <mergeCell ref="C3:F3"/>
    <mergeCell ref="C4:F4"/>
    <mergeCell ref="C12:F12"/>
    <mergeCell ref="C13:F1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E67"/>
  <sheetViews>
    <sheetView zoomScale="110" zoomScaleNormal="110" workbookViewId="0">
      <selection activeCell="K3" sqref="K3"/>
    </sheetView>
  </sheetViews>
  <sheetFormatPr defaultColWidth="9.42578125" defaultRowHeight="12.75"/>
  <cols>
    <col min="1" max="1" width="2.7109375" style="85" customWidth="1"/>
    <col min="2" max="2" width="2.42578125" style="85" customWidth="1"/>
    <col min="3" max="3" width="2.5703125" style="85" customWidth="1"/>
    <col min="4" max="20" width="8.42578125" style="85" customWidth="1"/>
    <col min="21" max="22" width="9.140625" style="85" customWidth="1"/>
    <col min="23" max="23" width="9.42578125" style="85"/>
    <col min="24" max="24" width="6.85546875" style="85" customWidth="1"/>
    <col min="25" max="16384" width="9.42578125" style="85"/>
  </cols>
  <sheetData>
    <row r="1" spans="3:24" ht="13.5" thickBot="1">
      <c r="D1" s="803" t="s">
        <v>25</v>
      </c>
      <c r="E1" s="177" t="s">
        <v>21</v>
      </c>
      <c r="F1" s="178" t="s">
        <v>22</v>
      </c>
      <c r="G1" s="179" t="s">
        <v>23</v>
      </c>
      <c r="H1" s="180" t="s">
        <v>24</v>
      </c>
    </row>
    <row r="3" spans="3:24" ht="13.5" thickBot="1">
      <c r="K3" s="86"/>
    </row>
    <row r="4" spans="3:24" ht="13.5" thickBot="1">
      <c r="C4" s="1289" t="s">
        <v>688</v>
      </c>
      <c r="D4" s="1290"/>
      <c r="E4" s="1290"/>
      <c r="F4" s="1290"/>
      <c r="G4" s="1290"/>
      <c r="H4" s="1290"/>
      <c r="I4" s="1290"/>
      <c r="J4" s="1290"/>
      <c r="K4" s="1290"/>
      <c r="L4" s="1290"/>
      <c r="M4" s="1290"/>
      <c r="N4" s="1290"/>
      <c r="O4" s="1290"/>
      <c r="P4" s="1290"/>
      <c r="Q4" s="1290"/>
      <c r="R4" s="1290"/>
      <c r="S4" s="1290"/>
      <c r="T4" s="1290"/>
      <c r="U4" s="1290"/>
      <c r="V4" s="1291"/>
      <c r="W4" s="172" t="s">
        <v>784</v>
      </c>
      <c r="X4" s="86"/>
    </row>
    <row r="5" spans="3:24" ht="13.5" thickBot="1">
      <c r="X5" s="86"/>
    </row>
    <row r="6" spans="3:24">
      <c r="C6" s="1295" t="s">
        <v>752</v>
      </c>
      <c r="D6" s="1293"/>
      <c r="E6" s="1293"/>
      <c r="F6" s="1293"/>
      <c r="G6" s="1293" t="s">
        <v>686</v>
      </c>
      <c r="H6" s="1293"/>
      <c r="I6" s="1293"/>
      <c r="J6" s="1293"/>
      <c r="K6" s="1293"/>
      <c r="L6" s="1293" t="s">
        <v>687</v>
      </c>
      <c r="M6" s="1293"/>
      <c r="N6" s="1293"/>
      <c r="O6" s="1293"/>
      <c r="P6" s="1293"/>
      <c r="Q6" s="1293"/>
      <c r="R6" s="1293" t="s">
        <v>670</v>
      </c>
      <c r="S6" s="1293"/>
      <c r="T6" s="1294"/>
      <c r="U6" s="166" t="s">
        <v>684</v>
      </c>
      <c r="V6" s="167" t="s">
        <v>685</v>
      </c>
    </row>
    <row r="7" spans="3:24">
      <c r="C7" s="87"/>
      <c r="D7" s="1292"/>
      <c r="E7" s="1292"/>
      <c r="F7" s="1292"/>
      <c r="G7" s="107" t="s">
        <v>180</v>
      </c>
      <c r="H7" s="107" t="s">
        <v>691</v>
      </c>
      <c r="I7" s="108" t="s">
        <v>487</v>
      </c>
      <c r="J7" s="108" t="s">
        <v>484</v>
      </c>
      <c r="K7" s="108" t="s">
        <v>490</v>
      </c>
      <c r="L7" s="146" t="s">
        <v>757</v>
      </c>
      <c r="M7" s="89">
        <v>1</v>
      </c>
      <c r="N7" s="88">
        <v>2</v>
      </c>
      <c r="O7" s="88">
        <v>3</v>
      </c>
      <c r="P7" s="88">
        <v>4</v>
      </c>
      <c r="Q7" s="90"/>
      <c r="R7" s="88" t="s">
        <v>664</v>
      </c>
      <c r="S7" s="88" t="s">
        <v>665</v>
      </c>
      <c r="T7" s="91" t="s">
        <v>666</v>
      </c>
      <c r="U7" s="168">
        <v>10</v>
      </c>
      <c r="V7" s="169" t="s">
        <v>6</v>
      </c>
    </row>
    <row r="8" spans="3:24">
      <c r="C8" s="141"/>
      <c r="D8" s="1260"/>
      <c r="E8" s="1261"/>
      <c r="F8" s="1262"/>
      <c r="G8" s="142" t="s">
        <v>221</v>
      </c>
      <c r="H8" s="142" t="s">
        <v>758</v>
      </c>
      <c r="I8" s="143" t="s">
        <v>221</v>
      </c>
      <c r="J8" s="143" t="s">
        <v>221</v>
      </c>
      <c r="K8" s="143" t="s">
        <v>221</v>
      </c>
      <c r="L8" s="147" t="s">
        <v>756</v>
      </c>
      <c r="M8" s="1257"/>
      <c r="N8" s="1258"/>
      <c r="O8" s="1258"/>
      <c r="P8" s="1259"/>
      <c r="Q8" s="144"/>
      <c r="R8" s="127" t="s">
        <v>755</v>
      </c>
      <c r="S8" s="127" t="s">
        <v>755</v>
      </c>
      <c r="T8" s="145" t="s">
        <v>755</v>
      </c>
      <c r="U8" s="168">
        <v>15</v>
      </c>
      <c r="V8" s="169" t="s">
        <v>8</v>
      </c>
    </row>
    <row r="9" spans="3:24">
      <c r="C9" s="92">
        <v>1</v>
      </c>
      <c r="D9" s="1269" t="s">
        <v>658</v>
      </c>
      <c r="E9" s="1269"/>
      <c r="F9" s="1269"/>
      <c r="G9" s="1267">
        <v>50</v>
      </c>
      <c r="H9" s="125">
        <v>1</v>
      </c>
      <c r="I9" s="1265">
        <v>10</v>
      </c>
      <c r="J9" s="126">
        <v>15</v>
      </c>
      <c r="K9" s="126">
        <v>6.25</v>
      </c>
      <c r="L9" s="127">
        <v>1</v>
      </c>
      <c r="M9" s="128"/>
      <c r="N9" s="129">
        <v>0.1</v>
      </c>
      <c r="O9" s="129">
        <v>0.8</v>
      </c>
      <c r="P9" s="129">
        <v>0.1</v>
      </c>
      <c r="Q9" s="130">
        <f>SUM(M9:P9)</f>
        <v>1</v>
      </c>
      <c r="R9" s="131">
        <v>1200</v>
      </c>
      <c r="S9" s="112">
        <f>ROT.4.Q.E.2*ROT.4.N.2.1+ROT.4.Q.E.3*ROT.4.N.3.1+ROT.4.Q.E.4*ROT.4.N.4.1</f>
        <v>1290</v>
      </c>
      <c r="T9" s="132">
        <f>ROT.4.Q.E.3*ROT.4.N.3.2+ROT.4.Q.E.4*(ROT.4.N.4.2+ROT.4.N.4.3)</f>
        <v>388</v>
      </c>
      <c r="U9" s="168">
        <v>25</v>
      </c>
      <c r="V9" s="169" t="s">
        <v>9</v>
      </c>
    </row>
    <row r="10" spans="3:24">
      <c r="C10" s="92">
        <v>2</v>
      </c>
      <c r="D10" s="1269" t="s">
        <v>659</v>
      </c>
      <c r="E10" s="1269"/>
      <c r="F10" s="1269"/>
      <c r="G10" s="1267"/>
      <c r="H10" s="125">
        <v>1</v>
      </c>
      <c r="I10" s="1265"/>
      <c r="J10" s="126">
        <v>15</v>
      </c>
      <c r="K10" s="126">
        <v>6.25</v>
      </c>
      <c r="L10" s="127">
        <v>2</v>
      </c>
      <c r="M10" s="129">
        <v>0.33</v>
      </c>
      <c r="N10" s="128"/>
      <c r="O10" s="129">
        <v>0.34</v>
      </c>
      <c r="P10" s="129">
        <v>0.33</v>
      </c>
      <c r="Q10" s="130">
        <f>SUM(M10:P10)</f>
        <v>1</v>
      </c>
      <c r="R10" s="131">
        <v>600</v>
      </c>
      <c r="S10" s="112">
        <f>ROT.4.Q.E.1*ROT.4.N.1.2+ROT.4.Q.E.3*ROT.4.N.3.2+ROT.4.Q.E.4*ROT.4.N.4.2</f>
        <v>376</v>
      </c>
      <c r="T10" s="132">
        <f>ROT.4.Q.E.1*(ROT.4.N.1.3+ROT.4.N.1.4)+ROT.4.Q.E.4*ROT.4.N.4.3</f>
        <v>1212</v>
      </c>
      <c r="U10" s="168">
        <v>35</v>
      </c>
      <c r="V10" s="169" t="s">
        <v>12</v>
      </c>
    </row>
    <row r="11" spans="3:24">
      <c r="C11" s="92">
        <v>3</v>
      </c>
      <c r="D11" s="1269" t="s">
        <v>661</v>
      </c>
      <c r="E11" s="1269"/>
      <c r="F11" s="1269"/>
      <c r="G11" s="1267"/>
      <c r="H11" s="125">
        <v>1</v>
      </c>
      <c r="I11" s="1265"/>
      <c r="J11" s="126">
        <v>15</v>
      </c>
      <c r="K11" s="126">
        <v>6.25</v>
      </c>
      <c r="L11" s="127">
        <v>3</v>
      </c>
      <c r="M11" s="129">
        <v>0.8</v>
      </c>
      <c r="N11" s="129">
        <v>0.1</v>
      </c>
      <c r="O11" s="128"/>
      <c r="P11" s="129">
        <v>0.1</v>
      </c>
      <c r="Q11" s="130">
        <f>SUM(M11:P11)</f>
        <v>1</v>
      </c>
      <c r="R11" s="131">
        <v>1200</v>
      </c>
      <c r="S11" s="112">
        <f>ROT.4.Q.E.1*ROT.4.N.1.3+ROT.4.Q.E.2*ROT.4.N.2.3+ROT.4.Q.E.4*ROT.4.N.4.3</f>
        <v>1296</v>
      </c>
      <c r="T11" s="132">
        <f>ROT.4.Q.E.1*ROT.4.N.1.4+ROT.4.Q.E.2*(ROT.4.N.2.4+ROT.4.N.2.1)</f>
        <v>516</v>
      </c>
      <c r="U11" s="168">
        <v>50</v>
      </c>
      <c r="V11" s="169" t="s">
        <v>13</v>
      </c>
    </row>
    <row r="12" spans="3:24" ht="13.5" thickBot="1">
      <c r="C12" s="93">
        <v>4</v>
      </c>
      <c r="D12" s="1270" t="s">
        <v>660</v>
      </c>
      <c r="E12" s="1270"/>
      <c r="F12" s="1270"/>
      <c r="G12" s="1268"/>
      <c r="H12" s="133">
        <v>1</v>
      </c>
      <c r="I12" s="1266"/>
      <c r="J12" s="134">
        <v>15</v>
      </c>
      <c r="K12" s="134">
        <v>6.25</v>
      </c>
      <c r="L12" s="135">
        <v>4</v>
      </c>
      <c r="M12" s="136">
        <v>0.33</v>
      </c>
      <c r="N12" s="136">
        <v>0.34</v>
      </c>
      <c r="O12" s="136">
        <v>0.33</v>
      </c>
      <c r="P12" s="137"/>
      <c r="Q12" s="138">
        <f>SUM(M12:P12)</f>
        <v>1</v>
      </c>
      <c r="R12" s="139">
        <v>400</v>
      </c>
      <c r="S12" s="118">
        <f>ROT.4.Q.E.1*ROT.4.N.1.4+ROT.4.Q.E.2*ROT.4.N.2.4+ROT.4.Q.E.3*ROT.4.N.3.4</f>
        <v>438</v>
      </c>
      <c r="T12" s="140">
        <f>ROT.4.Q.E.3*(ROT.4.N.3.1+ROT.4.N.3.2)+ROT.4.Q.E.2*ROT.4.N.2.1</f>
        <v>1278</v>
      </c>
      <c r="U12" s="170" t="s">
        <v>753</v>
      </c>
      <c r="V12" s="171" t="s">
        <v>14</v>
      </c>
    </row>
    <row r="13" spans="3:24" ht="13.5" thickBot="1">
      <c r="K13" s="94"/>
      <c r="Q13" s="94"/>
      <c r="R13" s="94"/>
      <c r="S13" s="94"/>
    </row>
    <row r="14" spans="3:24">
      <c r="C14" s="1274" t="s">
        <v>689</v>
      </c>
      <c r="D14" s="1275"/>
      <c r="E14" s="1275"/>
      <c r="F14" s="1275"/>
      <c r="G14" s="1275"/>
      <c r="H14" s="1275"/>
      <c r="I14" s="1275"/>
      <c r="J14" s="1275"/>
      <c r="K14" s="1275"/>
      <c r="L14" s="1275"/>
      <c r="M14" s="1275"/>
      <c r="N14" s="1275"/>
      <c r="O14" s="1275"/>
      <c r="P14" s="1275"/>
      <c r="Q14" s="1275"/>
      <c r="R14" s="1275"/>
      <c r="S14" s="1275"/>
      <c r="T14" s="1275"/>
      <c r="U14" s="1275"/>
      <c r="V14" s="1276"/>
    </row>
    <row r="15" spans="3:24">
      <c r="C15" s="95"/>
      <c r="D15" s="109" t="s">
        <v>683</v>
      </c>
      <c r="E15" s="109" t="s">
        <v>282</v>
      </c>
      <c r="F15" s="109" t="s">
        <v>669</v>
      </c>
      <c r="G15" s="109" t="s">
        <v>668</v>
      </c>
      <c r="H15" s="109" t="s">
        <v>398</v>
      </c>
      <c r="I15" s="109" t="s">
        <v>290</v>
      </c>
      <c r="J15" s="109" t="s">
        <v>671</v>
      </c>
      <c r="K15" s="109" t="s">
        <v>297</v>
      </c>
      <c r="L15" s="109" t="s">
        <v>681</v>
      </c>
      <c r="M15" s="109" t="s">
        <v>682</v>
      </c>
      <c r="N15" s="1282" t="s">
        <v>674</v>
      </c>
      <c r="O15" s="1282"/>
      <c r="P15" s="1282" t="s">
        <v>679</v>
      </c>
      <c r="Q15" s="1282"/>
      <c r="R15" s="109" t="s">
        <v>329</v>
      </c>
      <c r="S15" s="162" t="s">
        <v>778</v>
      </c>
      <c r="T15" s="162" t="s">
        <v>779</v>
      </c>
      <c r="U15" s="162" t="s">
        <v>781</v>
      </c>
      <c r="V15" s="163" t="s">
        <v>780</v>
      </c>
    </row>
    <row r="16" spans="3:24">
      <c r="C16" s="148"/>
      <c r="D16" s="143" t="s">
        <v>758</v>
      </c>
      <c r="E16" s="143" t="s">
        <v>758</v>
      </c>
      <c r="F16" s="143" t="s">
        <v>755</v>
      </c>
      <c r="G16" s="143" t="s">
        <v>755</v>
      </c>
      <c r="H16" s="143" t="s">
        <v>758</v>
      </c>
      <c r="I16" s="143" t="s">
        <v>755</v>
      </c>
      <c r="J16" s="143" t="s">
        <v>755</v>
      </c>
      <c r="K16" s="143" t="s">
        <v>758</v>
      </c>
      <c r="L16" s="143" t="s">
        <v>755</v>
      </c>
      <c r="M16" s="143" t="s">
        <v>755</v>
      </c>
      <c r="N16" s="1263" t="s">
        <v>755</v>
      </c>
      <c r="O16" s="1263"/>
      <c r="P16" s="1263" t="s">
        <v>755</v>
      </c>
      <c r="Q16" s="1263"/>
      <c r="R16" s="143" t="s">
        <v>56</v>
      </c>
      <c r="S16" s="164" t="s">
        <v>759</v>
      </c>
      <c r="T16" s="164" t="s">
        <v>221</v>
      </c>
      <c r="U16" s="164" t="s">
        <v>221</v>
      </c>
      <c r="V16" s="165" t="s">
        <v>758</v>
      </c>
    </row>
    <row r="17" spans="3:23">
      <c r="C17" s="96">
        <v>1</v>
      </c>
      <c r="D17" s="111">
        <f>IF(ROT.4.SEP.1&gt;=15,0,(15-ROT.4.SEP.1)/15)</f>
        <v>0</v>
      </c>
      <c r="E17" s="1280">
        <f>(1-0.085*(ROT.4.ANN-8))</f>
        <v>0.83</v>
      </c>
      <c r="F17" s="112">
        <f>SETRA.4.S.1*SETRA.4.Q.U.1</f>
        <v>0</v>
      </c>
      <c r="G17" s="112">
        <f>(SETRA.4.Q.C.1+2/3*SETRA.4.Q1.U.1)*SETRA.4.A</f>
        <v>322.03999999999996</v>
      </c>
      <c r="H17" s="113">
        <f>(1+0.1*(ROT.4.ENT.1-3.5))</f>
        <v>1.2749999999999999</v>
      </c>
      <c r="I17" s="114">
        <f>(1330-0.7*SETRA.4.Q.D.1)*SETRA.4.E.1</f>
        <v>1408.3293000000001</v>
      </c>
      <c r="J17" s="114">
        <f>ROT.4.Q.E.1/SETRA.4.E.1</f>
        <v>941.17647058823536</v>
      </c>
      <c r="K17" s="115">
        <f>SETRA.4.E.1*1330/(ROT.4.Q.E.1+SETRA.4.E.1*0.7*SETRA.4.Q.C.1)</f>
        <v>1.0966571600411306</v>
      </c>
      <c r="L17" s="112">
        <f>(1330-0.7*SETRA.4.Q.C.1*MIN(K17:K20))*SETRA.4.E.1</f>
        <v>1346.5689476782561</v>
      </c>
      <c r="M17" s="112">
        <f>SETRA.4.K1.1-MIN($K$17:$K$20)*ROT.4.Q.E.1</f>
        <v>136.55057352337803</v>
      </c>
      <c r="N17" s="116">
        <f>SETRA.4.K1.1-M17</f>
        <v>1210.0183741548781</v>
      </c>
      <c r="O17" s="1271">
        <f>SUM(N17:N20)</f>
        <v>3428.3853934388212</v>
      </c>
      <c r="P17" s="112">
        <f t="array" ref="P17:P20">MMULT(K57:N60,I57:I60)</f>
        <v>1262.6855331827483</v>
      </c>
      <c r="Q17" s="1271">
        <f>SUM(P17:P20)</f>
        <v>3899.4630783794832</v>
      </c>
      <c r="R17" s="113">
        <f>ROT.4.Q.E.1/SETRA.4.K.1</f>
        <v>0.85207344617483982</v>
      </c>
      <c r="S17" s="152">
        <f>3600/SETRA.4.K.1+900*0.25*(N17/SETRA.4.K.1-1+SQRT((N17/SETRA.4.K.1-1)^2+(3600/SETRA.4.K.1)*(N17/SETRA.4.K.1)/450/0.25))</f>
        <v>15.506585011658185</v>
      </c>
      <c r="T17" s="153">
        <f>SETRA.4.K.1*R17/3600*S17*6</f>
        <v>31.013170023316366</v>
      </c>
      <c r="U17" s="153">
        <f>SETRA.4.K1.1/ROT.4.Q.E.1*T17</f>
        <v>34.801143102053295</v>
      </c>
      <c r="V17" s="154" t="str">
        <f>IF(S17&lt;$U$7,"A",IF(S17&lt;$U$8,"B",IF(S17&lt;$U$9,"C",IF(S17&lt;$U$10,"D",IF(S17&lt;$U$11,"E","F")))))</f>
        <v>C</v>
      </c>
      <c r="W17" s="94"/>
    </row>
    <row r="18" spans="3:23">
      <c r="C18" s="96">
        <v>2</v>
      </c>
      <c r="D18" s="111">
        <f>IF(ROT.4.SEP.2&gt;=15,0,(15-ROT.4.SEP.2)/15)</f>
        <v>0</v>
      </c>
      <c r="E18" s="1280"/>
      <c r="F18" s="112">
        <f>SETRA.4.S.2*SETRA.4.Q.U.2</f>
        <v>0</v>
      </c>
      <c r="G18" s="112">
        <f>(SETRA.4.Q.C.2+2/3*SETRA.4.Q1.U.2)*SETRA.4.A</f>
        <v>1005.9599999999999</v>
      </c>
      <c r="H18" s="113">
        <f>(1+0.1*(ROT.4.ENT.2-3.5))</f>
        <v>1.2749999999999999</v>
      </c>
      <c r="I18" s="114">
        <f>(1330-0.7*SETRA.4.Q.D.2)*SETRA.4.E.2</f>
        <v>797.9307</v>
      </c>
      <c r="J18" s="114">
        <f>ROT.4.Q.E.2/SETRA.4.E.2</f>
        <v>470.58823529411768</v>
      </c>
      <c r="K18" s="115">
        <f>SETRA.4.E.2*1330/(ROT.4.Q.E.2+SETRA.4.E.2*0.7*SETRA.4.Q.C.2)</f>
        <v>1.0083486451290651</v>
      </c>
      <c r="L18" s="112">
        <f>(1330-0.7*SETRA.4.Q.C.2*MIN(K17:K20))*SETRA.4.E.2</f>
        <v>605.00918707743892</v>
      </c>
      <c r="M18" s="112">
        <f>SETRA.4.K1.2-MIN($K$17:$K$20)*ROT.4.Q.E.2</f>
        <v>0</v>
      </c>
      <c r="N18" s="116">
        <f>SETRA.4.K1.2-M18</f>
        <v>605.00918707743892</v>
      </c>
      <c r="O18" s="1271"/>
      <c r="P18" s="112">
        <v>686.82667018261429</v>
      </c>
      <c r="Q18" s="1271"/>
      <c r="R18" s="113">
        <f>ROT.4.Q.E.2/SETRA.4.K.2</f>
        <v>0.75194499973493933</v>
      </c>
      <c r="S18" s="152">
        <f>3600/SETRA.4.K.2+900*0.25*(N18/SETRA.4.K.2-1+SQRT((N18/SETRA.4.K.2-1)^2+(3600/SETRA.4.K.2)*(N18/SETRA.4.K.2)/450/0.25))</f>
        <v>17.184359417098108</v>
      </c>
      <c r="T18" s="153">
        <f>SETRA.4.K.2*R18/3600*S18*6</f>
        <v>17.184359417098108</v>
      </c>
      <c r="U18" s="153">
        <f>SETRA.4.K1.2/ROT.4.Q.E.2*T18</f>
        <v>17.327825535641765</v>
      </c>
      <c r="V18" s="154" t="str">
        <f>IF(S18&lt;$U$7,"A",IF(S18&lt;$U$8,"B",IF(S18&lt;$U$9,"C",IF(S18&lt;$U$10,"D",IF(S18&lt;$U$11,"E","F")))))</f>
        <v>C</v>
      </c>
    </row>
    <row r="19" spans="3:23">
      <c r="C19" s="96">
        <v>3</v>
      </c>
      <c r="D19" s="111">
        <f>IF(ROT.4.SEP.3&gt;=15,0,(15-ROT.4.SEP.3)/15)</f>
        <v>0</v>
      </c>
      <c r="E19" s="1280"/>
      <c r="F19" s="112">
        <f>SETRA.4.S.3*SETRA.4.Q.U.3</f>
        <v>0</v>
      </c>
      <c r="G19" s="112">
        <f>(SETRA.4.Q.C.3+2/3*SETRA.4.Q1.U.3)*SETRA.4.A</f>
        <v>428.28</v>
      </c>
      <c r="H19" s="113">
        <f>(1+0.1*(ROT.4.ENT.3-3.5))</f>
        <v>1.2749999999999999</v>
      </c>
      <c r="I19" s="114">
        <f>(1330-0.7*SETRA.4.Q.D.3)*SETRA.4.E.3</f>
        <v>1313.5101000000002</v>
      </c>
      <c r="J19" s="114">
        <f>ROT.4.Q.E.3/SETRA.4.E.3</f>
        <v>941.17647058823536</v>
      </c>
      <c r="K19" s="115">
        <f>SETRA.4.E.3*1330/(ROT.4.Q.E.3+SETRA.4.E.3*0.7*SETRA.4.Q.C.3)</f>
        <v>1.0212100955718957</v>
      </c>
      <c r="L19" s="112">
        <f>(1330-0.7*SETRA.4.Q.C.3*MIN(K17:K20))*SETRA.4.E.3</f>
        <v>1231.3751984587118</v>
      </c>
      <c r="M19" s="112">
        <f>SETRA.4.K1.3-MIN($K$17:$K$20)*ROT.4.Q.E.3</f>
        <v>21.356824303833719</v>
      </c>
      <c r="N19" s="116">
        <f>SETRA.4.K1.3-M19</f>
        <v>1210.0183741548781</v>
      </c>
      <c r="O19" s="1271"/>
      <c r="P19" s="112">
        <v>1266.4159548566674</v>
      </c>
      <c r="Q19" s="1271"/>
      <c r="R19" s="113">
        <f>ROT.4.Q.E.3/SETRA.4.K.3</f>
        <v>0.91358262110051525</v>
      </c>
      <c r="S19" s="152">
        <f>3600/SETRA.4.K.3+900*0.25*(N19/SETRA.4.K.3-1+SQRT((N19/SETRA.4.K.3-1)^2+(3600/SETRA.4.K.3)*(N19/SETRA.4.K.3)/450/0.25))</f>
        <v>23.097548211103529</v>
      </c>
      <c r="T19" s="153">
        <f>SETRA.4.K.3*R19/3600*S19*6</f>
        <v>46.195096422207058</v>
      </c>
      <c r="U19" s="153">
        <f>SETRA.4.K1.3/ROT.4.Q.E.3*T19</f>
        <v>47.402913353928788</v>
      </c>
      <c r="V19" s="154" t="str">
        <f>IF(S19&lt;$U$7,"A",IF(S19&lt;$U$8,"B",IF(S19&lt;$U$9,"C",IF(S19&lt;$U$10,"D",IF(S19&lt;$U$11,"E","F")))))</f>
        <v>C</v>
      </c>
    </row>
    <row r="20" spans="3:23" ht="13.5" thickBot="1">
      <c r="C20" s="97">
        <v>4</v>
      </c>
      <c r="D20" s="117">
        <f>IF(ROT.4.SEP.4&gt;=15,0,(15-ROT.4.SEP.4)/15)</f>
        <v>0</v>
      </c>
      <c r="E20" s="1281"/>
      <c r="F20" s="118">
        <f>SETRA.4.S.4*SETRA.4.Q.U.4</f>
        <v>0</v>
      </c>
      <c r="G20" s="118">
        <f>(SETRA.4.Q.C.4+2/3*SETRA.4.Q1.U.4)*SETRA.4.A</f>
        <v>1060.74</v>
      </c>
      <c r="H20" s="119">
        <f>(1+0.1*(ROT.4.ENT.4-3.5))</f>
        <v>1.2749999999999999</v>
      </c>
      <c r="I20" s="120">
        <f>(1330-0.7*SETRA.4.Q.D.4)*SETRA.4.E.4</f>
        <v>749.03955000000008</v>
      </c>
      <c r="J20" s="120">
        <f>ROT.4.Q.E.4/SETRA.4.E.4</f>
        <v>313.72549019607845</v>
      </c>
      <c r="K20" s="121">
        <f>SETRA.4.E.4*1330/(ROT.4.Q.E.4+SETRA.4.E.4*0.7*SETRA.4.Q.C.4)</f>
        <v>1.1006967996546833</v>
      </c>
      <c r="L20" s="118">
        <f>(1330-0.7*SETRA.4.Q.C.4*MIN(K17:K20))*SETRA.4.E.4</f>
        <v>545.61241013611152</v>
      </c>
      <c r="M20" s="118">
        <f>SETRA.4.K1.4-MIN($K$17:$K$20)*ROT.4.Q.E.4</f>
        <v>142.2729520844855</v>
      </c>
      <c r="N20" s="122">
        <f>SETRA.4.K1.4-M20</f>
        <v>403.33945805162602</v>
      </c>
      <c r="O20" s="1272"/>
      <c r="P20" s="118">
        <v>683.53492015745314</v>
      </c>
      <c r="Q20" s="1272"/>
      <c r="R20" s="119">
        <f>ROT.4.Q.E.4/SETRA.4.K.4</f>
        <v>0.53401719575421613</v>
      </c>
      <c r="S20" s="155">
        <f>3600/SETRA.4.K.4+900*0.25*(N20/SETRA.4.K.4-1+SQRT((N20/SETRA.4.K.4-1)^2+(3600/SETRA.4.K.4)*(N20/SETRA.4.K.4)/450/0.25))</f>
        <v>10.269911416103028</v>
      </c>
      <c r="T20" s="156">
        <f>SETRA.4.K.4*R20/3600*S20*6</f>
        <v>6.8466076107353508</v>
      </c>
      <c r="U20" s="156">
        <f>SETRA.4.K1.4/ROT.4.Q.E.4*T20</f>
        <v>9.3389851993738962</v>
      </c>
      <c r="V20" s="157" t="str">
        <f>IF(S20&lt;$U$7,"A",IF(S20&lt;$U$8,"B",IF(S20&lt;$U$9,"C",IF(S20&lt;$U$10,"D",IF(S20&lt;$U$11,"E","F")))))</f>
        <v>B</v>
      </c>
    </row>
    <row r="21" spans="3:23" ht="13.5" thickBot="1">
      <c r="D21" s="94"/>
      <c r="E21" s="94"/>
      <c r="F21" s="94"/>
      <c r="I21" s="94"/>
      <c r="J21" s="94"/>
      <c r="K21" s="94"/>
      <c r="L21" s="94"/>
    </row>
    <row r="22" spans="3:23">
      <c r="C22" s="1277" t="s">
        <v>690</v>
      </c>
      <c r="D22" s="1278"/>
      <c r="E22" s="1278"/>
      <c r="F22" s="1278"/>
      <c r="G22" s="1278"/>
      <c r="H22" s="1278"/>
      <c r="I22" s="1278"/>
      <c r="J22" s="1278"/>
      <c r="K22" s="1278"/>
      <c r="L22" s="1278"/>
      <c r="M22" s="1278"/>
      <c r="N22" s="1278"/>
      <c r="O22" s="1278"/>
      <c r="P22" s="1278"/>
      <c r="Q22" s="1278"/>
      <c r="R22" s="1278"/>
      <c r="S22" s="1278"/>
      <c r="T22" s="1278"/>
      <c r="U22" s="1278"/>
      <c r="V22" s="1279"/>
    </row>
    <row r="23" spans="3:23">
      <c r="C23" s="98"/>
      <c r="D23" s="110" t="s">
        <v>362</v>
      </c>
      <c r="E23" s="110" t="s">
        <v>282</v>
      </c>
      <c r="F23" s="110"/>
      <c r="G23" s="110" t="s">
        <v>668</v>
      </c>
      <c r="H23" s="110"/>
      <c r="I23" s="110" t="s">
        <v>290</v>
      </c>
      <c r="J23" s="110"/>
      <c r="K23" s="110" t="s">
        <v>297</v>
      </c>
      <c r="L23" s="110" t="s">
        <v>681</v>
      </c>
      <c r="M23" s="110" t="s">
        <v>682</v>
      </c>
      <c r="N23" s="1273" t="s">
        <v>674</v>
      </c>
      <c r="O23" s="1273"/>
      <c r="P23" s="1273" t="s">
        <v>679</v>
      </c>
      <c r="Q23" s="1273"/>
      <c r="R23" s="110" t="s">
        <v>329</v>
      </c>
      <c r="S23" s="158" t="s">
        <v>782</v>
      </c>
      <c r="T23" s="158" t="s">
        <v>779</v>
      </c>
      <c r="U23" s="158" t="s">
        <v>781</v>
      </c>
      <c r="V23" s="159" t="s">
        <v>780</v>
      </c>
    </row>
    <row r="24" spans="3:23">
      <c r="C24" s="98"/>
      <c r="D24" s="142" t="s">
        <v>758</v>
      </c>
      <c r="E24" s="142" t="s">
        <v>758</v>
      </c>
      <c r="F24" s="142" t="s">
        <v>755</v>
      </c>
      <c r="G24" s="142" t="s">
        <v>755</v>
      </c>
      <c r="H24" s="142" t="s">
        <v>758</v>
      </c>
      <c r="I24" s="142" t="s">
        <v>755</v>
      </c>
      <c r="J24" s="142" t="s">
        <v>755</v>
      </c>
      <c r="K24" s="142" t="s">
        <v>758</v>
      </c>
      <c r="L24" s="142" t="s">
        <v>755</v>
      </c>
      <c r="M24" s="142" t="s">
        <v>755</v>
      </c>
      <c r="N24" s="1264" t="s">
        <v>755</v>
      </c>
      <c r="O24" s="1264"/>
      <c r="P24" s="1264" t="s">
        <v>755</v>
      </c>
      <c r="Q24" s="1264"/>
      <c r="R24" s="142" t="s">
        <v>56</v>
      </c>
      <c r="S24" s="160" t="s">
        <v>759</v>
      </c>
      <c r="T24" s="160" t="s">
        <v>221</v>
      </c>
      <c r="U24" s="160" t="s">
        <v>221</v>
      </c>
      <c r="V24" s="161" t="s">
        <v>758</v>
      </c>
    </row>
    <row r="25" spans="3:23">
      <c r="C25" s="99">
        <v>1</v>
      </c>
      <c r="D25" s="123">
        <f>IF(ROT.4.N.C.1=1,1,1.5)</f>
        <v>1</v>
      </c>
      <c r="E25" s="1287">
        <f>IF(AND(ROT.4.R&gt;=20,ROT.4.ANN&gt;=8),0.7,IF(AND(ROT.4.R&lt;20,ROT.4.ANN&gt;=8),0.9,IF(ROT.4.ANN&lt;8,1)))</f>
        <v>0.7</v>
      </c>
      <c r="F25" s="112"/>
      <c r="G25" s="112">
        <f>CETUR.4.A*SETRA.4.Q.C.1+0.2*SETRA.4.Q.U.1</f>
        <v>529.59999999999991</v>
      </c>
      <c r="H25" s="112"/>
      <c r="I25" s="114">
        <f>CETUR.4.G.1*(1500-5/6*CETUR.4.Q.D.1)</f>
        <v>1058.6666666666667</v>
      </c>
      <c r="J25" s="112"/>
      <c r="K25" s="115">
        <f>CETUR.4.G.1*1500/(ROT.4.Q.E.1+CETUR.4.G.1*5/6*CETUR.4.Q.D.1)</f>
        <v>0.91389114541023564</v>
      </c>
      <c r="L25" s="112">
        <f>CETUR.4.G.1*(1500-5/6*CETUR.4.Q.D.1*MIN(K25:K28))</f>
        <v>1114.4437973209087</v>
      </c>
      <c r="M25" s="112">
        <f>L25-MIN($K$25:$K$28)*ROT.4.Q.E.1</f>
        <v>66.1036691904485</v>
      </c>
      <c r="N25" s="116">
        <f>CETUR.4.K1.1-M25</f>
        <v>1048.3401281304602</v>
      </c>
      <c r="O25" s="1271">
        <f>SUM(N25:N28)</f>
        <v>2970.2970297029706</v>
      </c>
      <c r="P25" s="112">
        <f t="array" ref="P25:P28">MMULT(K64:N67,I64:I67)</f>
        <v>928.0766660401672</v>
      </c>
      <c r="Q25" s="1271">
        <f>SUM(P25:P28)</f>
        <v>3431.1917502371343</v>
      </c>
      <c r="R25" s="113">
        <f>ROT.4.Q.E.1/CETUR.4.K.1</f>
        <v>1.1335012594458438</v>
      </c>
      <c r="S25" s="152">
        <f>3600/CETUR.4.K.1+900*0.25*(N25/CETUR.4.K.1-1+SQRT((N25/CETUR.4.K.1-1)^2+(3600/CETUR.4.K.1)*(N25/CETUR.4.K.1)/450/0.25))</f>
        <v>40.194469629302603</v>
      </c>
      <c r="T25" s="153">
        <f>SETRA.4.K.1*R25/3600*S25*6</f>
        <v>106.9402694148117</v>
      </c>
      <c r="U25" s="153">
        <f>SETRA.4.K1.1/ROT.4.Q.E.1*T25</f>
        <v>120.00203837527681</v>
      </c>
      <c r="V25" s="154" t="str">
        <f>IF(S25&lt;$U$7,"A",IF(S25&lt;$U$8,"B",IF(S25&lt;$U$9,"C",IF(S25&lt;$U$10,"D",IF(S25&lt;$U$11,"E","F")))))</f>
        <v>E</v>
      </c>
    </row>
    <row r="26" spans="3:23">
      <c r="C26" s="99">
        <v>2</v>
      </c>
      <c r="D26" s="123">
        <f>IF(ROT.4.N.C.2=1,1,1.5)</f>
        <v>1</v>
      </c>
      <c r="E26" s="1287"/>
      <c r="F26" s="112"/>
      <c r="G26" s="112">
        <f>CETUR.4.A*SETRA.4.Q.C.2+0.2*SETRA.4.Q.U.2</f>
        <v>923.6</v>
      </c>
      <c r="H26" s="112"/>
      <c r="I26" s="114">
        <f>CETUR.4.G.2*(1500-5/6*CETUR.4.Q.D.2)</f>
        <v>730.33333333333326</v>
      </c>
      <c r="J26" s="112"/>
      <c r="K26" s="115">
        <f>CETUR.4.G.2*1500/(ROT.4.Q.E.2+CETUR.4.G.2*5/6*CETUR.4.Q.D.2)</f>
        <v>1.0951569724993915</v>
      </c>
      <c r="L26" s="112">
        <f>CETUR.4.G.2*(1500-5/6*CETUR.4.Q.D.2*MIN(K25:K28))</f>
        <v>827.60629004076873</v>
      </c>
      <c r="M26" s="112">
        <f>L26-MIN($K$25:$K$28)*ROT.4.Q.E.2</f>
        <v>303.4362259755386</v>
      </c>
      <c r="N26" s="116">
        <f>CETUR.4.K1.2-M26</f>
        <v>524.17006406523012</v>
      </c>
      <c r="O26" s="1271"/>
      <c r="P26" s="112">
        <v>786.09649971183137</v>
      </c>
      <c r="Q26" s="1271"/>
      <c r="R26" s="113">
        <f>ROT.4.Q.E.2/CETUR.4.K.2</f>
        <v>0.82154267457781849</v>
      </c>
      <c r="S26" s="152">
        <f>3600/CETUR.4.K.2+900*0.25*(N26/CETUR.4.K.2-1+SQRT((N26/CETUR.4.K.2-1)^2+(3600/CETUR.4.K.2)*(N26/CETUR.4.K.2)/450/0.25))</f>
        <v>16.422085060839883</v>
      </c>
      <c r="T26" s="153">
        <f>SETRA.4.K.2*R26/3600*S26*6</f>
        <v>17.942061836680299</v>
      </c>
      <c r="U26" s="153">
        <f>SETRA.4.K1.2/ROT.4.Q.E.2*T26</f>
        <v>18.091853743838481</v>
      </c>
      <c r="V26" s="154" t="str">
        <f>IF(S26&lt;$U$7,"A",IF(S26&lt;$U$8,"B",IF(S26&lt;$U$9,"C",IF(S26&lt;$U$10,"D",IF(S26&lt;$U$11,"E","F")))))</f>
        <v>C</v>
      </c>
    </row>
    <row r="27" spans="3:23">
      <c r="C27" s="99">
        <v>3</v>
      </c>
      <c r="D27" s="123">
        <f>IF(ROT.4.N.C.3=1,1,1.5)</f>
        <v>1</v>
      </c>
      <c r="E27" s="1287"/>
      <c r="F27" s="112"/>
      <c r="G27" s="112">
        <f>CETUR.4.A*SETRA.4.Q.C.3+0.2*SETRA.4.Q.U.3</f>
        <v>620.4</v>
      </c>
      <c r="H27" s="112"/>
      <c r="I27" s="114">
        <f>CETUR.4.G.3*(1500-5/6*CETUR.4.Q.D.3)</f>
        <v>983</v>
      </c>
      <c r="J27" s="112"/>
      <c r="K27" s="115">
        <f>CETUR.4.G.3*1500/(ROT.4.Q.E.3+CETUR.4.G.3*5/6*CETUR.4.Q.D.3)</f>
        <v>0.87361677344205013</v>
      </c>
      <c r="L27" s="112">
        <f>CETUR.4.G.3*(1500-5/6*CETUR.4.Q.D.3*MIN(K25:K28))</f>
        <v>1048.34012813046</v>
      </c>
      <c r="M27" s="112">
        <f>L27-MIN($K$25:$K$28)*ROT.4.Q.E.3</f>
        <v>0</v>
      </c>
      <c r="N27" s="116">
        <f>CETUR.4.K1.3-M27</f>
        <v>1048.34012813046</v>
      </c>
      <c r="O27" s="1271"/>
      <c r="P27" s="112">
        <v>931.73544566796465</v>
      </c>
      <c r="Q27" s="1271"/>
      <c r="R27" s="113">
        <f>ROT.4.Q.E.3/CETUR.4.K.3</f>
        <v>1.2207527975584944</v>
      </c>
      <c r="S27" s="152">
        <f>3600/CETUR.4.K.3+900*0.25*(N27/CETUR.4.K.3-1+SQRT((N27/CETUR.4.K.3-1)^2+(3600/CETUR.4.K.3)*(N27/CETUR.4.K.3)/450/0.25))</f>
        <v>63.129105779471978</v>
      </c>
      <c r="T27" s="153">
        <f>SETRA.4.K.3*R27/3600*S27*6</f>
        <v>168.70949754894167</v>
      </c>
      <c r="U27" s="153">
        <f>SETRA.4.K1.3/ROT.4.Q.E.3*T27</f>
        <v>173.12057585516467</v>
      </c>
      <c r="V27" s="154" t="str">
        <f>IF(S27&lt;$U$7,"A",IF(S27&lt;$U$8,"B",IF(S27&lt;$U$9,"C",IF(S27&lt;$U$10,"D",IF(S27&lt;$U$11,"E","F")))))</f>
        <v>F</v>
      </c>
    </row>
    <row r="28" spans="3:23" ht="13.5" thickBot="1">
      <c r="C28" s="100">
        <v>4</v>
      </c>
      <c r="D28" s="124">
        <f>IF(ROT.4.N.C.4=1,1,1.5)</f>
        <v>1</v>
      </c>
      <c r="E28" s="1288"/>
      <c r="F28" s="118"/>
      <c r="G28" s="118">
        <f>CETUR.4.A*SETRA.4.Q.C.4+0.2*SETRA.4.Q.U.4</f>
        <v>982.19999999999993</v>
      </c>
      <c r="H28" s="118"/>
      <c r="I28" s="120">
        <f>CETUR.4.G.4*(1500-5/6*CETUR.4.Q.D.4)</f>
        <v>681.5</v>
      </c>
      <c r="J28" s="118"/>
      <c r="K28" s="121">
        <f>CETUR.4.G.4*1500/(ROT.4.Q.E.4+CETUR.4.G.4*5/6*CETUR.4.Q.D.4)</f>
        <v>1.2310217480508823</v>
      </c>
      <c r="L28" s="118">
        <f>CETUR.4.G.4*(1500-5/6*CETUR.4.Q.D.4*MIN(K25:K28))</f>
        <v>784.94467093768196</v>
      </c>
      <c r="M28" s="118">
        <f>L28-MIN($K$25:$K$28)*ROT.4.Q.E.4</f>
        <v>435.49796156086188</v>
      </c>
      <c r="N28" s="122">
        <f>CETUR.4.K1.4-M28</f>
        <v>349.44670937682008</v>
      </c>
      <c r="O28" s="1272"/>
      <c r="P28" s="118">
        <v>785.28313881717145</v>
      </c>
      <c r="Q28" s="1272"/>
      <c r="R28" s="119">
        <f>ROT.4.Q.E.4/CETUR.4.K.4</f>
        <v>0.58694057226705798</v>
      </c>
      <c r="S28" s="155">
        <f>3600/CETUR.4.K.4+900*0.25*(N28/CETUR.4.K.4-1+SQRT((N28/CETUR.4.K.4-1)^2+(3600/CETUR.4.K.4)*(N28/CETUR.4.K.4)/450/0.25))</f>
        <v>10.707407518205351</v>
      </c>
      <c r="T28" s="156">
        <f>SETRA.4.K.4*R28/3600*S28*6</f>
        <v>7.8457047777971667</v>
      </c>
      <c r="U28" s="156">
        <f>SETRA.4.K1.4/ROT.4.Q.E.4*T28</f>
        <v>10.701784732575794</v>
      </c>
      <c r="V28" s="157" t="str">
        <f>IF(S28&lt;$U$7,"A",IF(S28&lt;$U$8,"B",IF(S28&lt;$U$9,"C",IF(S28&lt;$U$10,"D",IF(S28&lt;$U$11,"E","F")))))</f>
        <v>B</v>
      </c>
    </row>
    <row r="30" spans="3:23">
      <c r="S30" s="149" t="s">
        <v>655</v>
      </c>
      <c r="T30" s="149" t="s">
        <v>783</v>
      </c>
    </row>
    <row r="31" spans="3:23">
      <c r="M31" s="149" t="s">
        <v>180</v>
      </c>
      <c r="N31" s="149" t="s">
        <v>692</v>
      </c>
      <c r="Q31" s="149"/>
      <c r="S31" s="149"/>
      <c r="T31" s="149"/>
    </row>
    <row r="32" spans="3:23">
      <c r="M32" s="149" t="s">
        <v>487</v>
      </c>
      <c r="N32" s="149" t="s">
        <v>693</v>
      </c>
      <c r="Q32" s="149"/>
      <c r="S32" s="149"/>
      <c r="T32" s="149"/>
    </row>
    <row r="33" spans="13:20">
      <c r="M33" s="149" t="s">
        <v>545</v>
      </c>
      <c r="N33" s="149" t="s">
        <v>694</v>
      </c>
      <c r="Q33" s="149"/>
      <c r="S33" s="149"/>
      <c r="T33" s="149"/>
    </row>
    <row r="34" spans="13:20">
      <c r="M34" s="149" t="s">
        <v>484</v>
      </c>
      <c r="N34" s="149" t="s">
        <v>695</v>
      </c>
      <c r="Q34" s="149"/>
      <c r="S34" s="149"/>
      <c r="T34" s="149"/>
    </row>
    <row r="35" spans="13:20">
      <c r="M35" s="149" t="s">
        <v>490</v>
      </c>
      <c r="N35" s="149" t="s">
        <v>696</v>
      </c>
      <c r="Q35" s="149"/>
      <c r="S35" s="149"/>
      <c r="T35" s="149"/>
    </row>
    <row r="36" spans="13:20">
      <c r="M36" s="149" t="s">
        <v>664</v>
      </c>
      <c r="N36" s="149" t="s">
        <v>657</v>
      </c>
      <c r="Q36" s="149"/>
      <c r="S36" s="149"/>
      <c r="T36" s="149"/>
    </row>
    <row r="37" spans="13:20">
      <c r="M37" s="149" t="s">
        <v>665</v>
      </c>
      <c r="N37" s="149" t="s">
        <v>662</v>
      </c>
      <c r="Q37" s="149"/>
      <c r="S37" s="149"/>
      <c r="T37" s="149"/>
    </row>
    <row r="38" spans="13:20">
      <c r="M38" s="149" t="s">
        <v>666</v>
      </c>
      <c r="N38" s="149" t="s">
        <v>663</v>
      </c>
      <c r="Q38" s="149"/>
      <c r="S38" s="149"/>
      <c r="T38" s="149"/>
    </row>
    <row r="39" spans="13:20">
      <c r="M39" s="149" t="s">
        <v>668</v>
      </c>
      <c r="N39" s="149" t="s">
        <v>667</v>
      </c>
      <c r="Q39" s="149"/>
      <c r="S39" s="149" t="s">
        <v>766</v>
      </c>
      <c r="T39" s="149"/>
    </row>
    <row r="40" spans="13:20">
      <c r="M40" s="149" t="s">
        <v>669</v>
      </c>
      <c r="N40" s="149" t="s">
        <v>761</v>
      </c>
      <c r="Q40" s="149"/>
      <c r="S40" s="149" t="s">
        <v>765</v>
      </c>
      <c r="T40" s="149"/>
    </row>
    <row r="41" spans="13:20">
      <c r="M41" s="149" t="s">
        <v>290</v>
      </c>
      <c r="N41" s="149" t="s">
        <v>702</v>
      </c>
      <c r="Q41" s="149"/>
      <c r="S41" s="149" t="s">
        <v>764</v>
      </c>
      <c r="T41" s="149"/>
    </row>
    <row r="42" spans="13:20">
      <c r="M42" s="149" t="s">
        <v>671</v>
      </c>
      <c r="N42" s="149" t="s">
        <v>672</v>
      </c>
      <c r="Q42" s="149"/>
      <c r="S42" s="149" t="s">
        <v>762</v>
      </c>
      <c r="T42" s="149"/>
    </row>
    <row r="43" spans="13:20">
      <c r="M43" s="149" t="s">
        <v>297</v>
      </c>
      <c r="N43" s="149" t="s">
        <v>704</v>
      </c>
      <c r="Q43" s="149"/>
      <c r="S43" s="149" t="s">
        <v>763</v>
      </c>
      <c r="T43" s="149"/>
    </row>
    <row r="44" spans="13:20">
      <c r="M44" s="149" t="s">
        <v>681</v>
      </c>
      <c r="N44" s="149" t="s">
        <v>703</v>
      </c>
      <c r="Q44" s="149"/>
      <c r="S44" s="149" t="s">
        <v>767</v>
      </c>
      <c r="T44" s="149"/>
    </row>
    <row r="45" spans="13:20">
      <c r="M45" s="149" t="s">
        <v>682</v>
      </c>
      <c r="N45" s="149" t="s">
        <v>673</v>
      </c>
      <c r="Q45" s="149"/>
      <c r="S45" s="149" t="s">
        <v>768</v>
      </c>
      <c r="T45" s="149"/>
    </row>
    <row r="46" spans="13:20">
      <c r="M46" s="149" t="s">
        <v>674</v>
      </c>
      <c r="N46" s="149" t="s">
        <v>700</v>
      </c>
      <c r="Q46" s="149"/>
      <c r="S46" s="149" t="s">
        <v>769</v>
      </c>
      <c r="T46" s="149"/>
    </row>
    <row r="47" spans="13:20">
      <c r="M47" s="149" t="s">
        <v>679</v>
      </c>
      <c r="N47" s="149" t="s">
        <v>701</v>
      </c>
      <c r="Q47" s="149"/>
      <c r="S47" s="149" t="s">
        <v>770</v>
      </c>
      <c r="T47" s="149"/>
    </row>
    <row r="48" spans="13:20">
      <c r="M48" s="149" t="s">
        <v>329</v>
      </c>
      <c r="N48" s="149" t="s">
        <v>699</v>
      </c>
      <c r="Q48" s="149"/>
      <c r="S48" s="149" t="s">
        <v>771</v>
      </c>
      <c r="T48" s="149"/>
    </row>
    <row r="49" spans="3:31">
      <c r="M49" s="150" t="s">
        <v>760</v>
      </c>
      <c r="N49" s="150" t="s">
        <v>750</v>
      </c>
      <c r="O49" s="151"/>
      <c r="P49" s="151"/>
      <c r="Q49" s="150"/>
      <c r="R49" s="151"/>
      <c r="S49" s="150" t="s">
        <v>772</v>
      </c>
      <c r="T49" s="149"/>
    </row>
    <row r="50" spans="3:31">
      <c r="M50" s="150" t="s">
        <v>685</v>
      </c>
      <c r="N50" s="150" t="s">
        <v>751</v>
      </c>
      <c r="O50" s="151"/>
      <c r="P50" s="151"/>
      <c r="Q50" s="150"/>
      <c r="R50" s="151"/>
      <c r="S50" s="150" t="s">
        <v>773</v>
      </c>
      <c r="T50" s="149"/>
    </row>
    <row r="51" spans="3:31">
      <c r="M51" s="150" t="s">
        <v>649</v>
      </c>
      <c r="N51" s="150" t="s">
        <v>774</v>
      </c>
      <c r="O51" s="151"/>
      <c r="P51" s="151"/>
      <c r="Q51" s="150"/>
      <c r="R51" s="151"/>
      <c r="S51" s="150" t="s">
        <v>776</v>
      </c>
      <c r="T51" s="149"/>
    </row>
    <row r="52" spans="3:31">
      <c r="M52" s="150" t="s">
        <v>754</v>
      </c>
      <c r="N52" s="150" t="s">
        <v>775</v>
      </c>
      <c r="O52" s="151"/>
      <c r="P52" s="151"/>
      <c r="Q52" s="150"/>
      <c r="R52" s="151"/>
      <c r="S52" s="150" t="s">
        <v>777</v>
      </c>
    </row>
    <row r="55" spans="3:31">
      <c r="C55" s="1283" t="s">
        <v>697</v>
      </c>
      <c r="D55" s="1283"/>
      <c r="E55" s="1283"/>
      <c r="F55" s="1283"/>
      <c r="G55" s="1283"/>
      <c r="H55" s="1283"/>
      <c r="I55" s="1283"/>
      <c r="J55" s="1283"/>
      <c r="K55" s="1283"/>
      <c r="L55" s="1283"/>
      <c r="M55" s="1283"/>
      <c r="N55" s="1283"/>
    </row>
    <row r="56" spans="3:31">
      <c r="C56" s="101"/>
      <c r="D56" s="101" t="s">
        <v>675</v>
      </c>
      <c r="E56" s="101" t="s">
        <v>676</v>
      </c>
      <c r="F56" s="101" t="s">
        <v>677</v>
      </c>
      <c r="G56" s="101" t="s">
        <v>678</v>
      </c>
      <c r="I56" s="101" t="s">
        <v>716</v>
      </c>
      <c r="K56" s="1284" t="s">
        <v>680</v>
      </c>
      <c r="L56" s="1285"/>
      <c r="M56" s="1285"/>
      <c r="N56" s="1286"/>
      <c r="P56" s="85" t="s">
        <v>709</v>
      </c>
      <c r="Z56" s="85" t="s">
        <v>714</v>
      </c>
      <c r="AB56" s="85" t="s">
        <v>715</v>
      </c>
    </row>
    <row r="57" spans="3:31">
      <c r="C57" s="102">
        <v>1</v>
      </c>
      <c r="D57" s="104">
        <f>1/SETRA.4.A/SETRA.4.E.1/0.7</f>
        <v>1.3499375653876011</v>
      </c>
      <c r="E57" s="104">
        <f>2/3*ROT.4.N.2.1*SETRA.4.S.1</f>
        <v>0</v>
      </c>
      <c r="F57" s="104">
        <f>(ROT.4.N.3.2+2/3*ROT.4.N.3.1*SETRA.4.S.1)</f>
        <v>0.1</v>
      </c>
      <c r="G57" s="104">
        <f>(ROT.4.N.4.2+ROT.4.N.4.3+2/3*ROT.4.N.4.1*SETRA.4.S.1)</f>
        <v>0.67</v>
      </c>
      <c r="H57" s="103"/>
      <c r="I57" s="106">
        <f>1330/SETRA.4.A/0.7</f>
        <v>2289.1566265060246</v>
      </c>
      <c r="K57" s="104">
        <f t="array" ref="K57:N60">MINVERSE(D57:G60)</f>
        <v>0.72896045961562395</v>
      </c>
      <c r="L57" s="104">
        <v>-3.0252981532180819E-3</v>
      </c>
      <c r="M57" s="104">
        <v>0.1867166022055419</v>
      </c>
      <c r="N57" s="104">
        <v>-0.36105755706706311</v>
      </c>
      <c r="P57" s="85" t="s">
        <v>706</v>
      </c>
      <c r="Z57" s="85" t="s">
        <v>716</v>
      </c>
      <c r="AB57" s="85" t="s">
        <v>718</v>
      </c>
      <c r="AC57" s="85" t="s">
        <v>722</v>
      </c>
      <c r="AD57" s="85" t="s">
        <v>723</v>
      </c>
      <c r="AE57" s="85" t="s">
        <v>724</v>
      </c>
    </row>
    <row r="58" spans="3:31">
      <c r="C58" s="102">
        <v>2</v>
      </c>
      <c r="D58" s="104">
        <f>(ROT.4.N.1.3+ROT.4.N.1.4+2/3*ROT.4.N.1.2*SETRA.4.S.2)</f>
        <v>0.9</v>
      </c>
      <c r="E58" s="104">
        <f>1/SETRA.4.A/SETRA.4.E.2/0.7</f>
        <v>1.3499375653876011</v>
      </c>
      <c r="F58" s="104">
        <f>2/3*ROT.4.N.3.2*SETRA.4.S.2</f>
        <v>0</v>
      </c>
      <c r="G58" s="104">
        <f>(ROT.4.N.4.3+2/3*ROT.4.N.4.2*SETRA.4.S.2)</f>
        <v>0.33</v>
      </c>
      <c r="H58" s="103"/>
      <c r="I58" s="106">
        <f>1330/SETRA.4.A/0.7</f>
        <v>2289.1566265060246</v>
      </c>
      <c r="K58" s="104">
        <v>-0.48513147709887455</v>
      </c>
      <c r="L58" s="104">
        <v>0.72831804041039672</v>
      </c>
      <c r="M58" s="104">
        <v>-5.8903128161160619E-3</v>
      </c>
      <c r="N58" s="104">
        <v>6.2738558058051716E-2</v>
      </c>
      <c r="P58" s="85" t="s">
        <v>705</v>
      </c>
      <c r="Z58" s="85" t="s">
        <v>716</v>
      </c>
      <c r="AB58" s="85" t="s">
        <v>725</v>
      </c>
      <c r="AC58" s="85" t="s">
        <v>719</v>
      </c>
      <c r="AD58" s="85" t="s">
        <v>726</v>
      </c>
      <c r="AE58" s="85" t="s">
        <v>727</v>
      </c>
    </row>
    <row r="59" spans="3:31">
      <c r="C59" s="102">
        <v>3</v>
      </c>
      <c r="D59" s="104">
        <f>(ROT.4.N.1.4+2/3*ROT.4.N.1.3*SETRA.4.S.3)</f>
        <v>0.1</v>
      </c>
      <c r="E59" s="105">
        <f>(ROT.4.N.2.1+ROT.4.N.2.4+2/3*ROT.4.N.2.3*SETRA.4.S.3)</f>
        <v>0.66</v>
      </c>
      <c r="F59" s="104">
        <f>1/SETRA.4.A/SETRA.4.E.3/0.7</f>
        <v>1.3499375653876011</v>
      </c>
      <c r="G59" s="104">
        <f>2/3*ROT.4.N.1.3*SETRA.4.S.3</f>
        <v>0</v>
      </c>
      <c r="H59" s="103"/>
      <c r="I59" s="106">
        <f>1330/SETRA.4.A/0.7</f>
        <v>2289.1566265060246</v>
      </c>
      <c r="K59" s="104">
        <v>0.18318678971845001</v>
      </c>
      <c r="L59" s="105">
        <v>-0.35585895909016263</v>
      </c>
      <c r="M59" s="104">
        <v>0.72982334257451531</v>
      </c>
      <c r="N59" s="104">
        <v>-3.9273613443637839E-3</v>
      </c>
      <c r="P59" s="85" t="s">
        <v>707</v>
      </c>
      <c r="Z59" s="85" t="s">
        <v>716</v>
      </c>
      <c r="AB59" s="85" t="s">
        <v>728</v>
      </c>
      <c r="AC59" s="85" t="s">
        <v>729</v>
      </c>
      <c r="AD59" s="85" t="s">
        <v>720</v>
      </c>
      <c r="AE59" s="85" t="s">
        <v>730</v>
      </c>
    </row>
    <row r="60" spans="3:31">
      <c r="C60" s="102">
        <v>4</v>
      </c>
      <c r="D60" s="104">
        <f>2/3*ROT.4.N.1.4*SETRA.4.S.4</f>
        <v>0</v>
      </c>
      <c r="E60" s="104">
        <f>(ROT.4.N.2.1+2/3*ROT.4.N.2.4*SETRA.4.S.4)</f>
        <v>0.33</v>
      </c>
      <c r="F60" s="104">
        <f>(ROT.4.N.3.1+ROT.4.N.3.2+2/3*ROT.4.N.3.4*SETRA.4.S.4)</f>
        <v>0.9</v>
      </c>
      <c r="G60" s="104">
        <f>1/SETRA.4.A/SETRA.4.E.4/0.7</f>
        <v>1.3499375653876011</v>
      </c>
      <c r="H60" s="103"/>
      <c r="I60" s="106">
        <f>1330/SETRA.4.A/0.7</f>
        <v>2289.1566265060246</v>
      </c>
      <c r="K60" s="104">
        <v>-3.5369956555031156E-3</v>
      </c>
      <c r="L60" s="104">
        <v>5.9208745570959828E-2</v>
      </c>
      <c r="M60" s="104">
        <v>-0.48513147709887455</v>
      </c>
      <c r="N60" s="104">
        <v>0.72805656072588409</v>
      </c>
      <c r="P60" s="85" t="s">
        <v>708</v>
      </c>
      <c r="Z60" s="85" t="s">
        <v>716</v>
      </c>
      <c r="AB60" s="85" t="s">
        <v>731</v>
      </c>
      <c r="AC60" s="85" t="s">
        <v>732</v>
      </c>
      <c r="AD60" s="85" t="s">
        <v>733</v>
      </c>
      <c r="AE60" s="85" t="s">
        <v>721</v>
      </c>
    </row>
    <row r="62" spans="3:31">
      <c r="C62" s="1283" t="s">
        <v>698</v>
      </c>
      <c r="D62" s="1283"/>
      <c r="E62" s="1283"/>
      <c r="F62" s="1283"/>
      <c r="G62" s="1283"/>
      <c r="H62" s="1283"/>
      <c r="I62" s="1283"/>
      <c r="J62" s="1283"/>
      <c r="K62" s="1283"/>
      <c r="L62" s="1283"/>
      <c r="M62" s="1283"/>
      <c r="N62" s="1283"/>
    </row>
    <row r="63" spans="3:31">
      <c r="C63" s="101"/>
      <c r="D63" s="101" t="s">
        <v>675</v>
      </c>
      <c r="E63" s="101" t="s">
        <v>676</v>
      </c>
      <c r="F63" s="101" t="s">
        <v>677</v>
      </c>
      <c r="G63" s="101" t="s">
        <v>678</v>
      </c>
      <c r="I63" s="101" t="s">
        <v>717</v>
      </c>
      <c r="K63" s="1284" t="s">
        <v>680</v>
      </c>
      <c r="L63" s="1285"/>
      <c r="M63" s="1285"/>
      <c r="N63" s="1286"/>
    </row>
    <row r="64" spans="3:31">
      <c r="C64" s="102">
        <v>1</v>
      </c>
      <c r="D64" s="104">
        <f>1/(CETUR.4.G.1*5/6)</f>
        <v>1.2</v>
      </c>
      <c r="E64" s="104">
        <f>0.2*ROT.4.N.2.1</f>
        <v>6.6000000000000003E-2</v>
      </c>
      <c r="F64" s="104">
        <f>(CETUR.4.A*ROT.4.N.3.2+0.2*ROT.4.N.3.1)</f>
        <v>0.23000000000000004</v>
      </c>
      <c r="G64" s="104">
        <f>(CETUR.4.A*(ROT.4.N.4.2+ROT.4.N.4.3)+0.2*ROT.4.N.4.1)</f>
        <v>0.53499999999999992</v>
      </c>
      <c r="I64" s="106">
        <f>1500/(5/6)</f>
        <v>1800</v>
      </c>
      <c r="K64" s="104">
        <f t="array" ref="K64:N67">MINVERSE(D64:G67)</f>
        <v>0.81599167943872897</v>
      </c>
      <c r="L64" s="104">
        <v>2.748225034812167E-2</v>
      </c>
      <c r="M64" s="104">
        <v>4.5257321842768095E-2</v>
      </c>
      <c r="N64" s="104">
        <v>-0.37313310382952591</v>
      </c>
      <c r="P64" s="85" t="s">
        <v>710</v>
      </c>
      <c r="Z64" s="85" t="s">
        <v>717</v>
      </c>
      <c r="AB64" s="85" t="s">
        <v>734</v>
      </c>
      <c r="AC64" s="85" t="s">
        <v>738</v>
      </c>
      <c r="AD64" s="85" t="s">
        <v>739</v>
      </c>
      <c r="AE64" s="85" t="s">
        <v>740</v>
      </c>
    </row>
    <row r="65" spans="3:31">
      <c r="C65" s="102">
        <v>2</v>
      </c>
      <c r="D65" s="104">
        <f>(CETUR.4.A*(ROT.4.N.1.3+ROT.4.N.1.4)+0.2*ROT.4.N.1.2)</f>
        <v>0.65</v>
      </c>
      <c r="E65" s="104">
        <f>1/(CETUR.4.G.2*5/6)</f>
        <v>1.2</v>
      </c>
      <c r="F65" s="104">
        <f>0.2*ROT.4.N.3.2</f>
        <v>2.0000000000000004E-2</v>
      </c>
      <c r="G65" s="104">
        <f>(CETUR.4.A*ROT.4.N.4.3+0.2*ROT.4.N.4.2)</f>
        <v>0.29899999999999999</v>
      </c>
      <c r="I65" s="106">
        <f>1500/(5/6)</f>
        <v>1800</v>
      </c>
      <c r="K65" s="104">
        <v>-0.46196287657377122</v>
      </c>
      <c r="L65" s="104">
        <v>0.82574650679031636</v>
      </c>
      <c r="M65" s="104">
        <v>7.6959473937128584E-2</v>
      </c>
      <c r="N65" s="104">
        <v>-4.0228265359895715E-3</v>
      </c>
      <c r="P65" s="85" t="s">
        <v>711</v>
      </c>
      <c r="Z65" s="85" t="s">
        <v>717</v>
      </c>
      <c r="AB65" s="85" t="s">
        <v>741</v>
      </c>
      <c r="AC65" s="85" t="s">
        <v>735</v>
      </c>
      <c r="AD65" s="85" t="s">
        <v>742</v>
      </c>
      <c r="AE65" s="85" t="s">
        <v>743</v>
      </c>
    </row>
    <row r="66" spans="3:31">
      <c r="C66" s="102">
        <v>3</v>
      </c>
      <c r="D66" s="104">
        <f>(CETUR.4.A*ROT.4.N.1.4+0.2*ROT.4.N.1.3)</f>
        <v>0.23000000000000004</v>
      </c>
      <c r="E66" s="105">
        <f>(CETUR.4.A*(ROT.4.N.2.1+ROT.4.N.2.4)+0.2*ROT.4.N.2.3)</f>
        <v>0.53</v>
      </c>
      <c r="F66" s="104">
        <f>1/(CETUR.4.G.3*5/6)</f>
        <v>1.2</v>
      </c>
      <c r="G66" s="104">
        <f>0.2*ROT.4.N.4.3</f>
        <v>6.6000000000000003E-2</v>
      </c>
      <c r="I66" s="106">
        <f>1500/(5/6)</f>
        <v>1800</v>
      </c>
      <c r="K66" s="104">
        <v>4.338730132853004E-2</v>
      </c>
      <c r="L66" s="105">
        <v>-0.36972107924855735</v>
      </c>
      <c r="M66" s="104">
        <v>0.81606975379022995</v>
      </c>
      <c r="N66" s="104">
        <v>2.7894827278666576E-2</v>
      </c>
      <c r="P66" s="85" t="s">
        <v>712</v>
      </c>
      <c r="Z66" s="85" t="s">
        <v>717</v>
      </c>
      <c r="AB66" s="85" t="s">
        <v>744</v>
      </c>
      <c r="AC66" s="85" t="s">
        <v>745</v>
      </c>
      <c r="AD66" s="85" t="s">
        <v>736</v>
      </c>
      <c r="AE66" s="85" t="s">
        <v>746</v>
      </c>
    </row>
    <row r="67" spans="3:31">
      <c r="C67" s="102">
        <v>4</v>
      </c>
      <c r="D67" s="104">
        <f>0.2*ROT.4.N.1.4</f>
        <v>2.0000000000000004E-2</v>
      </c>
      <c r="E67" s="104">
        <f>(CETUR.4.A*ROT.4.N.2.1+0.2*ROT.4.N.2.4)</f>
        <v>0.29699999999999999</v>
      </c>
      <c r="F67" s="104">
        <f>(CETUR.4.A*(ROT.4.N.3.1+ROT.4.N.3.2)+0.2*ROT.4.N.3.4)</f>
        <v>0.65</v>
      </c>
      <c r="G67" s="104">
        <f>1/(CETUR.4.G.4*5/6)</f>
        <v>1.2</v>
      </c>
      <c r="I67" s="106">
        <f>1500/(5/6)</f>
        <v>1800</v>
      </c>
      <c r="K67" s="104">
        <v>7.7234495741742473E-2</v>
      </c>
      <c r="L67" s="104">
        <v>-4.5647133434368013E-3</v>
      </c>
      <c r="M67" s="104">
        <v>-0.46183954179986009</v>
      </c>
      <c r="N67" s="104">
        <v>0.82543816985553853</v>
      </c>
      <c r="P67" s="85" t="s">
        <v>713</v>
      </c>
      <c r="Z67" s="85" t="s">
        <v>717</v>
      </c>
      <c r="AB67" s="85" t="s">
        <v>747</v>
      </c>
      <c r="AC67" s="85" t="s">
        <v>748</v>
      </c>
      <c r="AD67" s="85" t="s">
        <v>749</v>
      </c>
      <c r="AE67" s="85" t="s">
        <v>737</v>
      </c>
    </row>
  </sheetData>
  <mergeCells count="34">
    <mergeCell ref="C4:V4"/>
    <mergeCell ref="D7:F7"/>
    <mergeCell ref="L6:Q6"/>
    <mergeCell ref="G6:K6"/>
    <mergeCell ref="R6:T6"/>
    <mergeCell ref="C6:F6"/>
    <mergeCell ref="C55:N55"/>
    <mergeCell ref="K56:N56"/>
    <mergeCell ref="C62:N62"/>
    <mergeCell ref="K63:N63"/>
    <mergeCell ref="E25:E28"/>
    <mergeCell ref="O25:O28"/>
    <mergeCell ref="N23:O23"/>
    <mergeCell ref="P23:Q23"/>
    <mergeCell ref="Q25:Q28"/>
    <mergeCell ref="C14:V14"/>
    <mergeCell ref="C22:V22"/>
    <mergeCell ref="E17:E20"/>
    <mergeCell ref="Q17:Q20"/>
    <mergeCell ref="P15:Q15"/>
    <mergeCell ref="N15:O15"/>
    <mergeCell ref="O17:O20"/>
    <mergeCell ref="M8:P8"/>
    <mergeCell ref="D8:F8"/>
    <mergeCell ref="P16:Q16"/>
    <mergeCell ref="P24:Q24"/>
    <mergeCell ref="N16:O16"/>
    <mergeCell ref="N24:O24"/>
    <mergeCell ref="I9:I12"/>
    <mergeCell ref="G9:G12"/>
    <mergeCell ref="D9:F9"/>
    <mergeCell ref="D10:F10"/>
    <mergeCell ref="D11:F11"/>
    <mergeCell ref="D12:F12"/>
  </mergeCells>
  <conditionalFormatting sqref="Q9:Q12">
    <cfRule type="cellIs" dxfId="3" priority="3" operator="greaterThan">
      <formula>1</formula>
    </cfRule>
  </conditionalFormatting>
  <conditionalFormatting sqref="K17:K20">
    <cfRule type="cellIs" dxfId="2" priority="2" operator="equal">
      <formula>MIN($K$17:$K$20)</formula>
    </cfRule>
  </conditionalFormatting>
  <conditionalFormatting sqref="K25:K28">
    <cfRule type="cellIs" dxfId="1" priority="1" operator="equal">
      <formula>MIN($K$25:$K$28)</formula>
    </cfRule>
  </conditionalFormatting>
  <pageMargins left="0.7" right="0.7" top="0.75" bottom="0.75" header="0.3" footer="0.3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C1:N15"/>
  <sheetViews>
    <sheetView zoomScaleNormal="100" workbookViewId="0">
      <selection activeCell="P7" sqref="P7"/>
    </sheetView>
  </sheetViews>
  <sheetFormatPr defaultColWidth="13.140625" defaultRowHeight="12.75"/>
  <cols>
    <col min="1" max="2" width="3" style="181" customWidth="1"/>
    <col min="3" max="16384" width="13.140625" style="181"/>
  </cols>
  <sheetData>
    <row r="1" spans="3:14" ht="13.5" thickBot="1">
      <c r="C1" s="803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2" spans="3:14" ht="13.5" thickBot="1"/>
    <row r="3" spans="3:14" ht="13.5" thickBot="1">
      <c r="C3" s="1296" t="s">
        <v>976</v>
      </c>
      <c r="D3" s="1297"/>
      <c r="E3" s="1298"/>
      <c r="F3" s="1296" t="s">
        <v>1123</v>
      </c>
      <c r="G3" s="1297"/>
      <c r="H3" s="1298"/>
      <c r="I3" s="1296" t="s">
        <v>1117</v>
      </c>
      <c r="J3" s="1297"/>
      <c r="K3" s="1298"/>
      <c r="L3" s="1296" t="s">
        <v>979</v>
      </c>
      <c r="M3" s="1297"/>
      <c r="N3" s="1298"/>
    </row>
    <row r="4" spans="3:14" ht="13.5" thickBot="1">
      <c r="C4" s="1299" t="s">
        <v>973</v>
      </c>
      <c r="D4" s="1300"/>
      <c r="E4" s="1301"/>
      <c r="F4" s="1296" t="s">
        <v>1124</v>
      </c>
      <c r="G4" s="1297"/>
      <c r="H4" s="1298"/>
      <c r="I4" s="1296" t="s">
        <v>1118</v>
      </c>
      <c r="J4" s="1297"/>
      <c r="K4" s="1298"/>
      <c r="L4" s="1296" t="s">
        <v>978</v>
      </c>
      <c r="M4" s="1297"/>
      <c r="N4" s="1298"/>
    </row>
    <row r="5" spans="3:14" ht="13.5" thickBot="1">
      <c r="C5" s="1299" t="s">
        <v>1121</v>
      </c>
      <c r="D5" s="1300"/>
      <c r="E5" s="1301"/>
      <c r="F5" s="1297" t="s">
        <v>1125</v>
      </c>
      <c r="G5" s="1297"/>
      <c r="H5" s="1298"/>
      <c r="I5" s="1296" t="s">
        <v>1119</v>
      </c>
      <c r="J5" s="1297"/>
      <c r="K5" s="1298"/>
      <c r="L5" s="1296" t="s">
        <v>1127</v>
      </c>
      <c r="M5" s="1297"/>
      <c r="N5" s="1298"/>
    </row>
    <row r="6" spans="3:14" ht="13.5" thickBot="1">
      <c r="C6" s="1296" t="s">
        <v>1122</v>
      </c>
      <c r="D6" s="1297"/>
      <c r="E6" s="1298"/>
      <c r="F6" s="1297" t="s">
        <v>1126</v>
      </c>
      <c r="G6" s="1297"/>
      <c r="H6" s="1298"/>
      <c r="I6" s="1296" t="s">
        <v>1120</v>
      </c>
      <c r="J6" s="1297"/>
      <c r="K6" s="1298"/>
      <c r="L6" s="1296" t="s">
        <v>1128</v>
      </c>
      <c r="M6" s="1297"/>
      <c r="N6" s="1298"/>
    </row>
    <row r="7" spans="3:14" ht="13.5" thickBot="1"/>
    <row r="8" spans="3:14">
      <c r="C8" s="1070" t="s">
        <v>981</v>
      </c>
      <c r="D8" s="1071">
        <v>0</v>
      </c>
      <c r="E8" s="1071">
        <v>0</v>
      </c>
      <c r="F8" s="1071">
        <v>0</v>
      </c>
      <c r="G8" s="1071">
        <v>0</v>
      </c>
      <c r="H8" s="1071">
        <v>0</v>
      </c>
      <c r="I8" s="1071">
        <v>0</v>
      </c>
      <c r="J8" s="1072">
        <f>J14*3.6</f>
        <v>-2.5600000000004286E-2</v>
      </c>
      <c r="K8" s="1072">
        <f>K14*3.6</f>
        <v>-5.1199999999990101E-2</v>
      </c>
      <c r="L8" s="1072">
        <f>L14*3.6</f>
        <v>-2.2627416997968779</v>
      </c>
      <c r="M8" s="1072">
        <f>M14*3.6</f>
        <v>-8.6393088552895857E-3</v>
      </c>
      <c r="N8" s="1076" t="s">
        <v>981</v>
      </c>
    </row>
    <row r="9" spans="3:14">
      <c r="C9" s="1073" t="s">
        <v>970</v>
      </c>
      <c r="D9" s="1066">
        <v>3.86</v>
      </c>
      <c r="E9" s="1066">
        <v>1</v>
      </c>
      <c r="F9" s="1066">
        <v>1</v>
      </c>
      <c r="G9" s="1067">
        <f>2*(G11-G14*G10)/G10^2</f>
        <v>3.8580246913580245</v>
      </c>
      <c r="H9" s="1067">
        <f>(H15-H14)/H10</f>
        <v>9.2592592592592595</v>
      </c>
      <c r="I9" s="1067">
        <f>(I15^2-I14^2)/2/I11</f>
        <v>3.8580246913580249</v>
      </c>
      <c r="J9" s="1066">
        <v>3.86</v>
      </c>
      <c r="K9" s="1066">
        <v>3.86</v>
      </c>
      <c r="L9" s="1066">
        <v>3.86</v>
      </c>
      <c r="M9" s="1067">
        <f>2*(M15*M10-M11)/M10^2</f>
        <v>1.0000063925771467</v>
      </c>
      <c r="N9" s="1077" t="s">
        <v>970</v>
      </c>
    </row>
    <row r="10" spans="3:14">
      <c r="C10" s="1073" t="s">
        <v>972</v>
      </c>
      <c r="D10" s="1066">
        <v>7.2</v>
      </c>
      <c r="E10" s="1067">
        <f>(-E14+SQRT(ABS(E14^2+2*E9*E11)))/E9</f>
        <v>5</v>
      </c>
      <c r="F10" s="1067">
        <f>(F15-F14)/F9</f>
        <v>27.777777777777779</v>
      </c>
      <c r="G10" s="1066">
        <v>7.2</v>
      </c>
      <c r="H10" s="1066">
        <v>3</v>
      </c>
      <c r="I10" s="1067">
        <f>(I15-I14)/I9</f>
        <v>7.1999999999999993</v>
      </c>
      <c r="J10" s="1066">
        <v>7.2</v>
      </c>
      <c r="K10" s="1066">
        <v>7.2</v>
      </c>
      <c r="L10" s="1067">
        <f>(L15+SQRT(ABS(L15^2-2*L9*L11)))/L9</f>
        <v>7.3591495178322459</v>
      </c>
      <c r="M10" s="1066">
        <v>27.78</v>
      </c>
      <c r="N10" s="1077" t="s">
        <v>972</v>
      </c>
    </row>
    <row r="11" spans="3:14">
      <c r="C11" s="1073" t="s">
        <v>971</v>
      </c>
      <c r="D11" s="1067">
        <f>D14*D10+0.5*D9*D10^2</f>
        <v>100.05120000000001</v>
      </c>
      <c r="E11" s="1066">
        <v>12.5</v>
      </c>
      <c r="F11" s="1067">
        <f>1/2/F9*(F15^2-F14^2)</f>
        <v>385.80246913580248</v>
      </c>
      <c r="G11" s="1066">
        <v>100</v>
      </c>
      <c r="H11" s="1067">
        <f>H14*H10+0.5*H9*H10^2</f>
        <v>41.666666666666671</v>
      </c>
      <c r="I11" s="1066">
        <v>100</v>
      </c>
      <c r="J11" s="1066">
        <v>100</v>
      </c>
      <c r="K11" s="1067">
        <f>K14*K10+0.5*K9*K10^2</f>
        <v>99.948800000000034</v>
      </c>
      <c r="L11" s="1066">
        <v>100</v>
      </c>
      <c r="M11" s="1066">
        <v>385.8</v>
      </c>
      <c r="N11" s="1077" t="s">
        <v>971</v>
      </c>
    </row>
    <row r="12" spans="3:14" ht="13.5" thickBot="1">
      <c r="C12" s="1074" t="s">
        <v>975</v>
      </c>
      <c r="D12" s="1075">
        <f>D15*3.6</f>
        <v>100.05119999999999</v>
      </c>
      <c r="E12" s="1075">
        <f>E15*3.6</f>
        <v>18</v>
      </c>
      <c r="F12" s="1078">
        <v>100</v>
      </c>
      <c r="G12" s="1075">
        <f>G15*3.6</f>
        <v>100</v>
      </c>
      <c r="H12" s="1078">
        <v>100</v>
      </c>
      <c r="I12" s="1078">
        <v>100</v>
      </c>
      <c r="J12" s="1075">
        <f>J15*3.6</f>
        <v>100.0256</v>
      </c>
      <c r="K12" s="1078">
        <v>100</v>
      </c>
      <c r="L12" s="1078">
        <v>100</v>
      </c>
      <c r="M12" s="1078">
        <v>100</v>
      </c>
      <c r="N12" s="1079" t="s">
        <v>975</v>
      </c>
    </row>
    <row r="13" spans="3:14" ht="13.5" thickBot="1">
      <c r="C13" s="1069"/>
      <c r="N13" s="1069"/>
    </row>
    <row r="14" spans="3:14">
      <c r="C14" s="1070" t="s">
        <v>982</v>
      </c>
      <c r="D14" s="1072">
        <f t="shared" ref="D14:I14" si="0">D8/3.6</f>
        <v>0</v>
      </c>
      <c r="E14" s="1072">
        <f t="shared" si="0"/>
        <v>0</v>
      </c>
      <c r="F14" s="1072">
        <f t="shared" si="0"/>
        <v>0</v>
      </c>
      <c r="G14" s="1072">
        <f t="shared" si="0"/>
        <v>0</v>
      </c>
      <c r="H14" s="1072">
        <f t="shared" si="0"/>
        <v>0</v>
      </c>
      <c r="I14" s="1072">
        <f t="shared" si="0"/>
        <v>0</v>
      </c>
      <c r="J14" s="1072">
        <f>(J11-0.5*J9*J10^2)/J10</f>
        <v>-7.1111111111123015E-3</v>
      </c>
      <c r="K14" s="1072">
        <f>K15-K9*K10</f>
        <v>-1.4222222222219472E-2</v>
      </c>
      <c r="L14" s="1072">
        <f>L15-L9*L10</f>
        <v>-0.62853936105468833</v>
      </c>
      <c r="M14" s="1072">
        <f>M15-M9*M10</f>
        <v>-2.399808015358218E-3</v>
      </c>
      <c r="N14" s="1076" t="s">
        <v>982</v>
      </c>
    </row>
    <row r="15" spans="3:14" ht="13.5" thickBot="1">
      <c r="C15" s="1074" t="s">
        <v>974</v>
      </c>
      <c r="D15" s="1075">
        <f>D14+D9*D10</f>
        <v>27.791999999999998</v>
      </c>
      <c r="E15" s="1075">
        <f>E14+E9*E10</f>
        <v>5</v>
      </c>
      <c r="F15" s="1075">
        <f>F12/3.6</f>
        <v>27.777777777777779</v>
      </c>
      <c r="G15" s="1075">
        <f>G14+G9*G10</f>
        <v>27.777777777777779</v>
      </c>
      <c r="H15" s="1075">
        <f>H12/3.6</f>
        <v>27.777777777777779</v>
      </c>
      <c r="I15" s="1075">
        <f>I12/3.6</f>
        <v>27.777777777777779</v>
      </c>
      <c r="J15" s="1075">
        <f>J14+J9*J10</f>
        <v>27.784888888888887</v>
      </c>
      <c r="K15" s="1075">
        <f>K12/3.6</f>
        <v>27.777777777777779</v>
      </c>
      <c r="L15" s="1075">
        <f>L12/3.6</f>
        <v>27.777777777777779</v>
      </c>
      <c r="M15" s="1075">
        <f>M12/3.6</f>
        <v>27.777777777777779</v>
      </c>
      <c r="N15" s="1079" t="s">
        <v>974</v>
      </c>
    </row>
  </sheetData>
  <mergeCells count="16">
    <mergeCell ref="F3:H3"/>
    <mergeCell ref="C3:E3"/>
    <mergeCell ref="C4:E4"/>
    <mergeCell ref="L3:N3"/>
    <mergeCell ref="I6:K6"/>
    <mergeCell ref="I5:K5"/>
    <mergeCell ref="I4:K4"/>
    <mergeCell ref="I3:K3"/>
    <mergeCell ref="L5:N5"/>
    <mergeCell ref="L6:N6"/>
    <mergeCell ref="L4:N4"/>
    <mergeCell ref="F6:H6"/>
    <mergeCell ref="F5:H5"/>
    <mergeCell ref="F4:H4"/>
    <mergeCell ref="C5:E5"/>
    <mergeCell ref="C6:E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C3:K113"/>
  <sheetViews>
    <sheetView view="pageBreakPreview" topLeftCell="A19" zoomScale="115" zoomScaleNormal="100" zoomScaleSheetLayoutView="115" workbookViewId="0">
      <selection activeCell="I25" sqref="I25"/>
    </sheetView>
  </sheetViews>
  <sheetFormatPr defaultColWidth="13.28515625" defaultRowHeight="12.75"/>
  <cols>
    <col min="1" max="2" width="3.85546875" style="181" customWidth="1"/>
    <col min="3" max="16384" width="13.28515625" style="181"/>
  </cols>
  <sheetData>
    <row r="3" spans="3:11">
      <c r="C3" s="1302" t="s">
        <v>462</v>
      </c>
      <c r="D3" s="1303"/>
      <c r="E3" s="1303"/>
      <c r="F3" s="1303"/>
      <c r="G3" s="1303"/>
      <c r="H3" s="1303"/>
      <c r="I3" s="1303"/>
      <c r="J3" s="1303"/>
      <c r="K3" s="1304"/>
    </row>
    <row r="4" spans="3:11">
      <c r="C4" s="771">
        <v>3</v>
      </c>
      <c r="D4" s="771">
        <v>3.75</v>
      </c>
      <c r="E4" s="771">
        <v>3.75</v>
      </c>
      <c r="F4" s="771">
        <v>0.7</v>
      </c>
      <c r="G4" s="771">
        <v>2.6</v>
      </c>
      <c r="H4" s="771">
        <v>0.7</v>
      </c>
      <c r="I4" s="771">
        <v>3.75</v>
      </c>
      <c r="J4" s="771">
        <v>3.75</v>
      </c>
      <c r="K4" s="771">
        <v>3</v>
      </c>
    </row>
    <row r="5" spans="3:11">
      <c r="C5" s="772">
        <f>SUM(C4:K4)</f>
        <v>25</v>
      </c>
      <c r="D5" s="773" t="s">
        <v>69</v>
      </c>
      <c r="E5" s="773">
        <v>90</v>
      </c>
      <c r="F5" s="773">
        <v>100</v>
      </c>
      <c r="G5" s="773">
        <v>110</v>
      </c>
      <c r="H5" s="773">
        <v>120</v>
      </c>
      <c r="I5" s="773">
        <v>130</v>
      </c>
      <c r="J5" s="773">
        <v>140</v>
      </c>
      <c r="K5" s="774"/>
    </row>
    <row r="6" spans="3:11">
      <c r="C6" s="773"/>
      <c r="D6" s="773" t="s">
        <v>465</v>
      </c>
      <c r="E6" s="773">
        <v>116</v>
      </c>
      <c r="F6" s="773">
        <v>138</v>
      </c>
      <c r="G6" s="773">
        <v>161</v>
      </c>
      <c r="H6" s="773">
        <v>188</v>
      </c>
      <c r="I6" s="773">
        <v>217</v>
      </c>
      <c r="J6" s="773">
        <v>246</v>
      </c>
      <c r="K6" s="774"/>
    </row>
    <row r="7" spans="3:11">
      <c r="C7" s="775"/>
      <c r="D7" s="773" t="s">
        <v>436</v>
      </c>
      <c r="E7" s="776">
        <v>380</v>
      </c>
      <c r="F7" s="776">
        <v>492</v>
      </c>
      <c r="G7" s="776">
        <v>615</v>
      </c>
      <c r="H7" s="776">
        <v>756</v>
      </c>
      <c r="I7" s="776">
        <v>918</v>
      </c>
      <c r="J7" s="776">
        <v>1102</v>
      </c>
      <c r="K7" s="774"/>
    </row>
    <row r="8" spans="3:11">
      <c r="C8" s="775"/>
      <c r="D8" s="773" t="s">
        <v>437</v>
      </c>
      <c r="E8" s="776">
        <v>2670</v>
      </c>
      <c r="F8" s="776">
        <v>3280</v>
      </c>
      <c r="G8" s="776">
        <v>3920</v>
      </c>
      <c r="H8" s="776">
        <v>4680</v>
      </c>
      <c r="I8" s="776">
        <v>5500</v>
      </c>
      <c r="J8" s="776">
        <v>6320</v>
      </c>
      <c r="K8" s="774"/>
    </row>
    <row r="9" spans="3:11">
      <c r="C9" s="773" t="s">
        <v>180</v>
      </c>
      <c r="D9" s="773" t="s">
        <v>438</v>
      </c>
      <c r="E9" s="776">
        <v>3620</v>
      </c>
      <c r="F9" s="776">
        <v>5120</v>
      </c>
      <c r="G9" s="776">
        <v>6960</v>
      </c>
      <c r="H9" s="776">
        <v>9490</v>
      </c>
      <c r="I9" s="776">
        <v>12640</v>
      </c>
      <c r="J9" s="776">
        <v>16240</v>
      </c>
      <c r="K9" s="774"/>
    </row>
    <row r="10" spans="3:11">
      <c r="C10" s="776">
        <v>5512</v>
      </c>
      <c r="D10" s="777"/>
      <c r="E10" s="778"/>
      <c r="F10" s="778"/>
      <c r="G10" s="778"/>
      <c r="H10" s="778"/>
      <c r="I10" s="778"/>
      <c r="J10" s="778"/>
      <c r="K10" s="779"/>
    </row>
    <row r="11" spans="3:11">
      <c r="C11" s="776">
        <v>3000</v>
      </c>
      <c r="D11" s="777"/>
      <c r="E11" s="778"/>
      <c r="F11" s="778"/>
      <c r="G11" s="778"/>
      <c r="H11" s="778"/>
      <c r="I11" s="778"/>
      <c r="J11" s="778"/>
      <c r="K11" s="779"/>
    </row>
    <row r="12" spans="3:11">
      <c r="C12" s="776">
        <v>2750</v>
      </c>
      <c r="D12" s="777"/>
      <c r="E12" s="778"/>
      <c r="F12" s="778"/>
      <c r="G12" s="778"/>
      <c r="H12" s="778"/>
      <c r="I12" s="778"/>
      <c r="J12" s="778">
        <v>0.2</v>
      </c>
      <c r="K12" s="779"/>
    </row>
    <row r="13" spans="3:11">
      <c r="C13" s="776">
        <v>2500</v>
      </c>
      <c r="D13" s="777"/>
      <c r="E13" s="778"/>
      <c r="F13" s="778"/>
      <c r="G13" s="778"/>
      <c r="H13" s="778"/>
      <c r="I13" s="778"/>
      <c r="J13" s="778">
        <v>0.45</v>
      </c>
      <c r="K13" s="779"/>
    </row>
    <row r="14" spans="3:11">
      <c r="C14" s="776">
        <v>2250</v>
      </c>
      <c r="D14" s="777"/>
      <c r="E14" s="778"/>
      <c r="F14" s="778"/>
      <c r="G14" s="778"/>
      <c r="H14" s="778"/>
      <c r="I14" s="778">
        <v>0.05</v>
      </c>
      <c r="J14" s="778">
        <v>0.8</v>
      </c>
      <c r="K14" s="779"/>
    </row>
    <row r="15" spans="3:11">
      <c r="C15" s="776">
        <v>2000</v>
      </c>
      <c r="D15" s="777"/>
      <c r="E15" s="778"/>
      <c r="F15" s="778"/>
      <c r="G15" s="778"/>
      <c r="H15" s="778"/>
      <c r="I15" s="778">
        <v>0.4</v>
      </c>
      <c r="J15" s="778">
        <v>1.25</v>
      </c>
      <c r="K15" s="779"/>
    </row>
    <row r="16" spans="3:11">
      <c r="C16" s="776">
        <v>1900</v>
      </c>
      <c r="D16" s="777"/>
      <c r="E16" s="778"/>
      <c r="F16" s="778"/>
      <c r="G16" s="778"/>
      <c r="H16" s="778"/>
      <c r="I16" s="778">
        <v>0.55000000000000004</v>
      </c>
      <c r="J16" s="778">
        <v>1.45</v>
      </c>
      <c r="K16" s="779"/>
    </row>
    <row r="17" spans="3:11">
      <c r="C17" s="776">
        <v>1800</v>
      </c>
      <c r="D17" s="777"/>
      <c r="E17" s="778"/>
      <c r="F17" s="778"/>
      <c r="G17" s="778"/>
      <c r="H17" s="778"/>
      <c r="I17" s="778">
        <v>0.7</v>
      </c>
      <c r="J17" s="778">
        <v>1.65</v>
      </c>
      <c r="K17" s="779"/>
    </row>
    <row r="18" spans="3:11">
      <c r="C18" s="776">
        <v>1700</v>
      </c>
      <c r="D18" s="777"/>
      <c r="E18" s="778"/>
      <c r="F18" s="778"/>
      <c r="G18" s="778"/>
      <c r="H18" s="778">
        <v>0.05</v>
      </c>
      <c r="I18" s="778">
        <v>0.9</v>
      </c>
      <c r="J18" s="778">
        <v>1.9</v>
      </c>
      <c r="K18" s="779"/>
    </row>
    <row r="19" spans="3:11">
      <c r="C19" s="776">
        <v>1600</v>
      </c>
      <c r="D19" s="777"/>
      <c r="E19" s="778"/>
      <c r="F19" s="778"/>
      <c r="G19" s="778"/>
      <c r="H19" s="778">
        <v>0.2</v>
      </c>
      <c r="I19" s="778">
        <v>1.1000000000000001</v>
      </c>
      <c r="J19" s="778">
        <v>2.15</v>
      </c>
      <c r="K19" s="779"/>
    </row>
    <row r="20" spans="3:11">
      <c r="C20" s="776">
        <v>1500</v>
      </c>
      <c r="D20" s="777"/>
      <c r="E20" s="778"/>
      <c r="F20" s="778"/>
      <c r="G20" s="778"/>
      <c r="H20" s="778">
        <v>0.35</v>
      </c>
      <c r="I20" s="778">
        <v>1.35</v>
      </c>
      <c r="J20" s="778" t="s">
        <v>480</v>
      </c>
      <c r="K20" s="779"/>
    </row>
    <row r="21" spans="3:11">
      <c r="C21" s="776">
        <v>1400</v>
      </c>
      <c r="D21" s="777"/>
      <c r="E21" s="778"/>
      <c r="F21" s="778"/>
      <c r="G21" s="778"/>
      <c r="H21" s="778">
        <v>0.6</v>
      </c>
      <c r="I21" s="778">
        <v>1.65</v>
      </c>
      <c r="J21" s="778" t="s">
        <v>479</v>
      </c>
      <c r="K21" s="779"/>
    </row>
    <row r="22" spans="3:11">
      <c r="C22" s="776">
        <v>1300</v>
      </c>
      <c r="D22" s="777"/>
      <c r="E22" s="778"/>
      <c r="F22" s="778"/>
      <c r="G22" s="778"/>
      <c r="H22" s="778">
        <v>0.8</v>
      </c>
      <c r="I22" s="778">
        <v>1.95</v>
      </c>
      <c r="J22" s="778" t="s">
        <v>478</v>
      </c>
      <c r="K22" s="779"/>
    </row>
    <row r="23" spans="3:11">
      <c r="C23" s="776">
        <v>1200</v>
      </c>
      <c r="D23" s="777"/>
      <c r="E23" s="778"/>
      <c r="F23" s="778"/>
      <c r="G23" s="778">
        <v>0.15</v>
      </c>
      <c r="H23" s="778">
        <v>1.1000000000000001</v>
      </c>
      <c r="I23" s="778" t="s">
        <v>475</v>
      </c>
      <c r="J23" s="778" t="s">
        <v>477</v>
      </c>
      <c r="K23" s="779"/>
    </row>
    <row r="24" spans="3:11">
      <c r="C24" s="776">
        <v>1100</v>
      </c>
      <c r="D24" s="777"/>
      <c r="E24" s="778"/>
      <c r="F24" s="778"/>
      <c r="G24" s="778">
        <v>0.4</v>
      </c>
      <c r="H24" s="778">
        <v>1.45</v>
      </c>
      <c r="I24" s="778" t="s">
        <v>474</v>
      </c>
      <c r="J24" s="778" t="s">
        <v>476</v>
      </c>
      <c r="K24" s="779"/>
    </row>
    <row r="25" spans="3:11">
      <c r="C25" s="776">
        <v>1000</v>
      </c>
      <c r="D25" s="777"/>
      <c r="E25" s="778"/>
      <c r="F25" s="778"/>
      <c r="G25" s="778">
        <v>0.7</v>
      </c>
      <c r="H25" s="778">
        <v>1.85</v>
      </c>
      <c r="I25" s="778" t="s">
        <v>468</v>
      </c>
      <c r="J25" s="778"/>
      <c r="K25" s="779"/>
    </row>
    <row r="26" spans="3:11">
      <c r="C26" s="776">
        <v>950</v>
      </c>
      <c r="D26" s="777"/>
      <c r="E26" s="778"/>
      <c r="F26" s="778"/>
      <c r="G26" s="778">
        <v>0.85</v>
      </c>
      <c r="H26" s="778">
        <v>2.0499999999999998</v>
      </c>
      <c r="I26" s="778" t="s">
        <v>473</v>
      </c>
      <c r="J26" s="778"/>
      <c r="K26" s="779"/>
    </row>
    <row r="27" spans="3:11">
      <c r="C27" s="776">
        <v>900</v>
      </c>
      <c r="D27" s="775"/>
      <c r="E27" s="778"/>
      <c r="F27" s="778">
        <v>0.05</v>
      </c>
      <c r="G27" s="778">
        <v>1.05</v>
      </c>
      <c r="H27" s="778" t="s">
        <v>471</v>
      </c>
      <c r="I27" s="778" t="s">
        <v>472</v>
      </c>
      <c r="J27" s="778"/>
      <c r="K27" s="779"/>
    </row>
    <row r="28" spans="3:11">
      <c r="C28" s="776">
        <v>850</v>
      </c>
      <c r="D28" s="775"/>
      <c r="E28" s="778"/>
      <c r="F28" s="778">
        <v>0.2</v>
      </c>
      <c r="G28" s="778">
        <v>1.25</v>
      </c>
      <c r="H28" s="778" t="s">
        <v>470</v>
      </c>
      <c r="I28" s="778"/>
      <c r="J28" s="778"/>
      <c r="K28" s="779"/>
    </row>
    <row r="29" spans="3:11">
      <c r="C29" s="776">
        <v>800</v>
      </c>
      <c r="D29" s="775"/>
      <c r="E29" s="778"/>
      <c r="F29" s="778">
        <v>0.4</v>
      </c>
      <c r="G29" s="778">
        <v>1.5</v>
      </c>
      <c r="H29" s="778" t="s">
        <v>469</v>
      </c>
      <c r="I29" s="778"/>
      <c r="J29" s="778"/>
      <c r="K29" s="779"/>
    </row>
    <row r="30" spans="3:11">
      <c r="C30" s="776">
        <v>750</v>
      </c>
      <c r="D30" s="775"/>
      <c r="E30" s="778"/>
      <c r="F30" s="778">
        <v>0.6</v>
      </c>
      <c r="G30" s="778">
        <v>1.75</v>
      </c>
      <c r="H30" s="778" t="s">
        <v>468</v>
      </c>
      <c r="I30" s="778"/>
      <c r="J30" s="778"/>
      <c r="K30" s="779"/>
    </row>
    <row r="31" spans="3:11">
      <c r="C31" s="776">
        <v>700</v>
      </c>
      <c r="D31" s="775"/>
      <c r="E31" s="778"/>
      <c r="F31" s="778">
        <v>0.8</v>
      </c>
      <c r="G31" s="778">
        <v>2.0499999999999998</v>
      </c>
      <c r="H31" s="778"/>
      <c r="I31" s="778"/>
      <c r="J31" s="778"/>
      <c r="K31" s="779"/>
    </row>
    <row r="32" spans="3:11">
      <c r="C32" s="776">
        <v>650</v>
      </c>
      <c r="D32" s="775"/>
      <c r="E32" s="778"/>
      <c r="F32" s="778">
        <v>1.05</v>
      </c>
      <c r="G32" s="778">
        <v>2.4</v>
      </c>
      <c r="H32" s="778"/>
      <c r="I32" s="778"/>
      <c r="J32" s="778"/>
      <c r="K32" s="779"/>
    </row>
    <row r="33" spans="3:11">
      <c r="C33" s="776">
        <v>600</v>
      </c>
      <c r="D33" s="775"/>
      <c r="E33" s="778">
        <v>0.25</v>
      </c>
      <c r="F33" s="778">
        <v>1.35</v>
      </c>
      <c r="G33" s="778" t="s">
        <v>467</v>
      </c>
      <c r="H33" s="778"/>
      <c r="I33" s="778"/>
      <c r="J33" s="778"/>
      <c r="K33" s="779"/>
    </row>
    <row r="34" spans="3:11">
      <c r="C34" s="776">
        <v>550</v>
      </c>
      <c r="D34" s="775"/>
      <c r="E34" s="778">
        <v>0.5</v>
      </c>
      <c r="F34" s="778">
        <v>1.7</v>
      </c>
      <c r="G34" s="778"/>
      <c r="H34" s="778"/>
      <c r="I34" s="778"/>
      <c r="J34" s="778"/>
      <c r="K34" s="779"/>
    </row>
    <row r="35" spans="3:11">
      <c r="C35" s="776">
        <v>500</v>
      </c>
      <c r="D35" s="775"/>
      <c r="E35" s="778">
        <v>0.8</v>
      </c>
      <c r="F35" s="778">
        <v>2.15</v>
      </c>
      <c r="G35" s="778"/>
      <c r="H35" s="778"/>
      <c r="I35" s="778"/>
      <c r="J35" s="778"/>
      <c r="K35" s="779"/>
    </row>
    <row r="36" spans="3:11">
      <c r="C36" s="776">
        <v>450</v>
      </c>
      <c r="D36" s="775"/>
      <c r="E36" s="778">
        <v>1.1499999999999999</v>
      </c>
      <c r="F36" s="778"/>
      <c r="G36" s="778"/>
      <c r="H36" s="778"/>
      <c r="I36" s="778"/>
      <c r="J36" s="778"/>
      <c r="K36" s="779"/>
    </row>
    <row r="37" spans="3:11">
      <c r="C37" s="776">
        <v>400</v>
      </c>
      <c r="D37" s="775"/>
      <c r="E37" s="778">
        <v>1.6</v>
      </c>
      <c r="F37" s="778"/>
      <c r="G37" s="778"/>
      <c r="H37" s="778"/>
      <c r="I37" s="778"/>
      <c r="J37" s="778"/>
      <c r="K37" s="779"/>
    </row>
    <row r="38" spans="3:11">
      <c r="C38" s="776">
        <v>380</v>
      </c>
      <c r="D38" s="775"/>
      <c r="E38" s="778">
        <v>1.85</v>
      </c>
      <c r="F38" s="778"/>
      <c r="G38" s="778"/>
      <c r="H38" s="778"/>
      <c r="I38" s="778"/>
      <c r="J38" s="778"/>
      <c r="K38" s="779"/>
    </row>
    <row r="39" spans="3:11">
      <c r="C39" s="780"/>
      <c r="D39" s="781"/>
      <c r="E39" s="781"/>
      <c r="F39" s="781"/>
      <c r="G39" s="781"/>
      <c r="H39" s="781"/>
      <c r="I39" s="781"/>
      <c r="J39" s="781"/>
      <c r="K39" s="782"/>
    </row>
    <row r="41" spans="3:11">
      <c r="C41" s="1302" t="s">
        <v>463</v>
      </c>
      <c r="D41" s="1303"/>
      <c r="E41" s="1303"/>
      <c r="F41" s="1303"/>
      <c r="G41" s="1303"/>
      <c r="H41" s="1303"/>
      <c r="I41" s="1303"/>
      <c r="J41" s="1303"/>
      <c r="K41" s="1304"/>
    </row>
    <row r="42" spans="3:11">
      <c r="C42" s="783">
        <v>1.75</v>
      </c>
      <c r="D42" s="783">
        <v>3.75</v>
      </c>
      <c r="E42" s="783">
        <v>3.75</v>
      </c>
      <c r="F42" s="783">
        <v>0.5</v>
      </c>
      <c r="G42" s="783">
        <v>2.5</v>
      </c>
      <c r="H42" s="783">
        <v>0.5</v>
      </c>
      <c r="I42" s="783">
        <v>3.75</v>
      </c>
      <c r="J42" s="783">
        <v>3.75</v>
      </c>
      <c r="K42" s="783">
        <v>1.75</v>
      </c>
    </row>
    <row r="43" spans="3:11">
      <c r="C43" s="772">
        <f>SUM(C42:K42)</f>
        <v>22</v>
      </c>
      <c r="D43" s="773" t="s">
        <v>69</v>
      </c>
      <c r="E43" s="773">
        <v>70</v>
      </c>
      <c r="F43" s="773">
        <v>80</v>
      </c>
      <c r="G43" s="773">
        <v>90</v>
      </c>
      <c r="H43" s="773">
        <v>100</v>
      </c>
      <c r="I43" s="773">
        <v>110</v>
      </c>
      <c r="J43" s="773">
        <v>120</v>
      </c>
      <c r="K43" s="774"/>
    </row>
    <row r="44" spans="3:11">
      <c r="C44" s="773"/>
      <c r="D44" s="773" t="s">
        <v>466</v>
      </c>
      <c r="E44" s="773">
        <v>90</v>
      </c>
      <c r="F44" s="773">
        <v>98</v>
      </c>
      <c r="G44" s="773">
        <v>118</v>
      </c>
      <c r="H44" s="773">
        <v>140</v>
      </c>
      <c r="I44" s="773">
        <v>164</v>
      </c>
      <c r="J44" s="773">
        <v>191</v>
      </c>
      <c r="K44" s="774"/>
    </row>
    <row r="45" spans="3:11">
      <c r="C45" s="775"/>
      <c r="D45" s="773" t="s">
        <v>436</v>
      </c>
      <c r="E45" s="776">
        <v>196</v>
      </c>
      <c r="F45" s="776">
        <v>280</v>
      </c>
      <c r="G45" s="776">
        <v>380</v>
      </c>
      <c r="H45" s="776">
        <v>492</v>
      </c>
      <c r="I45" s="776">
        <v>615</v>
      </c>
      <c r="J45" s="776">
        <v>756</v>
      </c>
      <c r="K45" s="774"/>
    </row>
    <row r="46" spans="3:11">
      <c r="C46" s="775"/>
      <c r="D46" s="773" t="s">
        <v>437</v>
      </c>
      <c r="E46" s="776">
        <v>1960</v>
      </c>
      <c r="F46" s="776">
        <v>2180</v>
      </c>
      <c r="G46" s="776">
        <v>2730</v>
      </c>
      <c r="H46" s="776">
        <v>3330</v>
      </c>
      <c r="I46" s="776">
        <v>4000</v>
      </c>
      <c r="J46" s="776">
        <v>4760</v>
      </c>
      <c r="K46" s="774"/>
    </row>
    <row r="47" spans="3:11">
      <c r="C47" s="773" t="s">
        <v>180</v>
      </c>
      <c r="D47" s="773" t="s">
        <v>438</v>
      </c>
      <c r="E47" s="776">
        <v>2180</v>
      </c>
      <c r="F47" s="776">
        <v>2580</v>
      </c>
      <c r="G47" s="776">
        <v>3740</v>
      </c>
      <c r="H47" s="776">
        <v>5260</v>
      </c>
      <c r="I47" s="776">
        <v>7220</v>
      </c>
      <c r="J47" s="776">
        <v>9790</v>
      </c>
      <c r="K47" s="774"/>
    </row>
    <row r="48" spans="3:11">
      <c r="C48" s="776">
        <v>3780</v>
      </c>
      <c r="D48" s="777"/>
      <c r="E48" s="775"/>
      <c r="F48" s="775"/>
      <c r="G48" s="775"/>
      <c r="H48" s="775"/>
      <c r="I48" s="775"/>
      <c r="J48" s="775"/>
      <c r="K48" s="774"/>
    </row>
    <row r="49" spans="3:11">
      <c r="C49" s="776">
        <v>2000</v>
      </c>
      <c r="D49" s="777"/>
      <c r="E49" s="775"/>
      <c r="F49" s="775"/>
      <c r="G49" s="775"/>
      <c r="H49" s="775"/>
      <c r="I49" s="775"/>
      <c r="J49" s="775"/>
      <c r="K49" s="774"/>
    </row>
    <row r="50" spans="3:11">
      <c r="C50" s="776">
        <v>1900</v>
      </c>
      <c r="D50" s="777"/>
      <c r="E50" s="778"/>
      <c r="F50" s="778"/>
      <c r="G50" s="778"/>
      <c r="H50" s="778"/>
      <c r="I50" s="778"/>
      <c r="J50" s="778">
        <v>0.05</v>
      </c>
      <c r="K50" s="774"/>
    </row>
    <row r="51" spans="3:11">
      <c r="C51" s="776">
        <v>1800</v>
      </c>
      <c r="D51" s="777"/>
      <c r="E51" s="778"/>
      <c r="F51" s="778"/>
      <c r="G51" s="778"/>
      <c r="H51" s="778"/>
      <c r="I51" s="778"/>
      <c r="J51" s="778">
        <v>0.2</v>
      </c>
      <c r="K51" s="774"/>
    </row>
    <row r="52" spans="3:11">
      <c r="C52" s="776">
        <v>1700</v>
      </c>
      <c r="D52" s="777"/>
      <c r="E52" s="778"/>
      <c r="F52" s="778"/>
      <c r="G52" s="778"/>
      <c r="H52" s="778"/>
      <c r="I52" s="778"/>
      <c r="J52" s="778">
        <v>0.35</v>
      </c>
      <c r="K52" s="774"/>
    </row>
    <row r="53" spans="3:11">
      <c r="C53" s="776">
        <v>1600</v>
      </c>
      <c r="D53" s="777"/>
      <c r="E53" s="778"/>
      <c r="F53" s="778"/>
      <c r="G53" s="778"/>
      <c r="H53" s="778"/>
      <c r="I53" s="778"/>
      <c r="J53" s="778">
        <v>0.5</v>
      </c>
      <c r="K53" s="774"/>
    </row>
    <row r="54" spans="3:11">
      <c r="C54" s="776">
        <v>1500</v>
      </c>
      <c r="D54" s="777"/>
      <c r="E54" s="778"/>
      <c r="F54" s="778"/>
      <c r="G54" s="778"/>
      <c r="H54" s="778"/>
      <c r="I54" s="778"/>
      <c r="J54" s="778">
        <v>0.7</v>
      </c>
      <c r="K54" s="774"/>
    </row>
    <row r="55" spans="3:11">
      <c r="C55" s="776">
        <v>1400</v>
      </c>
      <c r="D55" s="777"/>
      <c r="E55" s="778"/>
      <c r="F55" s="778"/>
      <c r="G55" s="778"/>
      <c r="H55" s="778"/>
      <c r="I55" s="778">
        <v>0.05</v>
      </c>
      <c r="J55" s="778">
        <v>0.9</v>
      </c>
      <c r="K55" s="774"/>
    </row>
    <row r="56" spans="3:11">
      <c r="C56" s="776">
        <v>1300</v>
      </c>
      <c r="D56" s="777"/>
      <c r="E56" s="778"/>
      <c r="F56" s="778"/>
      <c r="G56" s="778"/>
      <c r="H56" s="778"/>
      <c r="I56" s="778">
        <v>0.25</v>
      </c>
      <c r="J56" s="778">
        <v>1.2</v>
      </c>
      <c r="K56" s="774"/>
    </row>
    <row r="57" spans="3:11">
      <c r="C57" s="776">
        <v>1200</v>
      </c>
      <c r="D57" s="777"/>
      <c r="E57" s="778"/>
      <c r="F57" s="778"/>
      <c r="G57" s="778"/>
      <c r="H57" s="778"/>
      <c r="I57" s="778">
        <v>0.45</v>
      </c>
      <c r="J57" s="778" t="s">
        <v>461</v>
      </c>
      <c r="K57" s="774"/>
    </row>
    <row r="58" spans="3:11">
      <c r="C58" s="776">
        <v>1100</v>
      </c>
      <c r="D58" s="777"/>
      <c r="E58" s="778"/>
      <c r="F58" s="778"/>
      <c r="G58" s="778"/>
      <c r="H58" s="778"/>
      <c r="I58" s="778">
        <v>0.7</v>
      </c>
      <c r="J58" s="778" t="s">
        <v>460</v>
      </c>
      <c r="K58" s="774"/>
    </row>
    <row r="59" spans="3:11">
      <c r="C59" s="776">
        <v>1000</v>
      </c>
      <c r="D59" s="777"/>
      <c r="E59" s="778"/>
      <c r="F59" s="778"/>
      <c r="G59" s="778"/>
      <c r="H59" s="778">
        <v>0.1</v>
      </c>
      <c r="I59" s="778">
        <v>1</v>
      </c>
      <c r="J59" s="778" t="s">
        <v>459</v>
      </c>
      <c r="K59" s="774"/>
    </row>
    <row r="60" spans="3:11">
      <c r="C60" s="776">
        <v>950</v>
      </c>
      <c r="D60" s="777"/>
      <c r="E60" s="778"/>
      <c r="F60" s="778"/>
      <c r="G60" s="778"/>
      <c r="H60" s="778">
        <v>0.2</v>
      </c>
      <c r="I60" s="778">
        <v>1.2</v>
      </c>
      <c r="J60" s="778" t="s">
        <v>450</v>
      </c>
      <c r="K60" s="774"/>
    </row>
    <row r="61" spans="3:11">
      <c r="C61" s="776">
        <v>900</v>
      </c>
      <c r="D61" s="777"/>
      <c r="E61" s="778"/>
      <c r="F61" s="778"/>
      <c r="G61" s="778"/>
      <c r="H61" s="778">
        <v>0.35</v>
      </c>
      <c r="I61" s="778" t="s">
        <v>454</v>
      </c>
      <c r="J61" s="778" t="s">
        <v>458</v>
      </c>
      <c r="K61" s="774"/>
    </row>
    <row r="62" spans="3:11">
      <c r="C62" s="776">
        <v>850</v>
      </c>
      <c r="D62" s="777"/>
      <c r="E62" s="778"/>
      <c r="F62" s="778"/>
      <c r="G62" s="778"/>
      <c r="H62" s="778">
        <v>0.5</v>
      </c>
      <c r="I62" s="778" t="s">
        <v>453</v>
      </c>
      <c r="J62" s="778" t="s">
        <v>457</v>
      </c>
      <c r="K62" s="774"/>
    </row>
    <row r="63" spans="3:11">
      <c r="C63" s="776">
        <v>800</v>
      </c>
      <c r="D63" s="777"/>
      <c r="E63" s="778"/>
      <c r="F63" s="778"/>
      <c r="G63" s="778"/>
      <c r="H63" s="778">
        <v>0.7</v>
      </c>
      <c r="I63" s="778" t="s">
        <v>452</v>
      </c>
      <c r="J63" s="778" t="s">
        <v>456</v>
      </c>
      <c r="K63" s="774"/>
    </row>
    <row r="64" spans="3:11">
      <c r="C64" s="776">
        <v>750</v>
      </c>
      <c r="D64" s="777"/>
      <c r="E64" s="778"/>
      <c r="F64" s="778"/>
      <c r="G64" s="778"/>
      <c r="H64" s="778">
        <v>0.9</v>
      </c>
      <c r="I64" s="778" t="s">
        <v>451</v>
      </c>
      <c r="J64" s="778" t="s">
        <v>455</v>
      </c>
      <c r="K64" s="774"/>
    </row>
    <row r="65" spans="3:11">
      <c r="C65" s="776">
        <v>700</v>
      </c>
      <c r="D65" s="775"/>
      <c r="E65" s="778"/>
      <c r="F65" s="778"/>
      <c r="G65" s="778">
        <v>0.1</v>
      </c>
      <c r="H65" s="778">
        <v>1.1000000000000001</v>
      </c>
      <c r="I65" s="778" t="s">
        <v>450</v>
      </c>
      <c r="J65" s="778"/>
      <c r="K65" s="774"/>
    </row>
    <row r="66" spans="3:11">
      <c r="C66" s="776">
        <v>650</v>
      </c>
      <c r="D66" s="775"/>
      <c r="E66" s="778"/>
      <c r="F66" s="778"/>
      <c r="G66" s="778">
        <v>0.3</v>
      </c>
      <c r="H66" s="778" t="s">
        <v>447</v>
      </c>
      <c r="I66" s="778" t="s">
        <v>449</v>
      </c>
      <c r="J66" s="778"/>
      <c r="K66" s="774"/>
    </row>
    <row r="67" spans="3:11">
      <c r="C67" s="776">
        <v>600</v>
      </c>
      <c r="D67" s="775"/>
      <c r="E67" s="778"/>
      <c r="F67" s="778"/>
      <c r="G67" s="778">
        <v>0.5</v>
      </c>
      <c r="H67" s="778" t="s">
        <v>446</v>
      </c>
      <c r="I67" s="778" t="s">
        <v>448</v>
      </c>
      <c r="J67" s="778"/>
      <c r="K67" s="774"/>
    </row>
    <row r="68" spans="3:11">
      <c r="C68" s="776">
        <v>550</v>
      </c>
      <c r="D68" s="775"/>
      <c r="E68" s="778"/>
      <c r="F68" s="778"/>
      <c r="G68" s="778">
        <v>0.75</v>
      </c>
      <c r="H68" s="778" t="s">
        <v>445</v>
      </c>
      <c r="I68" s="778"/>
      <c r="J68" s="778"/>
      <c r="K68" s="774"/>
    </row>
    <row r="69" spans="3:11">
      <c r="C69" s="776">
        <v>500</v>
      </c>
      <c r="D69" s="775"/>
      <c r="E69" s="778"/>
      <c r="F69" s="778">
        <v>0.05</v>
      </c>
      <c r="G69" s="778">
        <v>1.1000000000000001</v>
      </c>
      <c r="H69" s="778" t="s">
        <v>444</v>
      </c>
      <c r="I69" s="778"/>
      <c r="J69" s="778"/>
      <c r="K69" s="774"/>
    </row>
    <row r="70" spans="3:11">
      <c r="C70" s="776">
        <v>450</v>
      </c>
      <c r="D70" s="775"/>
      <c r="E70" s="778"/>
      <c r="F70" s="778">
        <v>0.3</v>
      </c>
      <c r="G70" s="778" t="s">
        <v>443</v>
      </c>
      <c r="H70" s="778"/>
      <c r="I70" s="778"/>
      <c r="J70" s="778"/>
      <c r="K70" s="774"/>
    </row>
    <row r="71" spans="3:11">
      <c r="C71" s="776">
        <v>400</v>
      </c>
      <c r="D71" s="775"/>
      <c r="E71" s="778">
        <v>0.15</v>
      </c>
      <c r="F71" s="778">
        <v>0.6</v>
      </c>
      <c r="G71" s="778" t="s">
        <v>442</v>
      </c>
      <c r="H71" s="778"/>
      <c r="I71" s="778"/>
      <c r="J71" s="778"/>
      <c r="K71" s="774"/>
    </row>
    <row r="72" spans="3:11">
      <c r="C72" s="776">
        <v>350</v>
      </c>
      <c r="D72" s="775"/>
      <c r="E72" s="778">
        <v>0.55000000000000004</v>
      </c>
      <c r="F72" s="778">
        <v>1.05</v>
      </c>
      <c r="G72" s="778"/>
      <c r="H72" s="778"/>
      <c r="I72" s="778"/>
      <c r="J72" s="778"/>
      <c r="K72" s="774"/>
    </row>
    <row r="73" spans="3:11">
      <c r="C73" s="776">
        <v>300</v>
      </c>
      <c r="D73" s="775"/>
      <c r="E73" s="778">
        <v>1</v>
      </c>
      <c r="F73" s="778" t="s">
        <v>441</v>
      </c>
      <c r="G73" s="778"/>
      <c r="H73" s="778"/>
      <c r="I73" s="778"/>
      <c r="J73" s="778"/>
      <c r="K73" s="774"/>
    </row>
    <row r="74" spans="3:11">
      <c r="C74" s="776">
        <v>250</v>
      </c>
      <c r="D74" s="775"/>
      <c r="E74" s="778" t="s">
        <v>440</v>
      </c>
      <c r="F74" s="778"/>
      <c r="G74" s="778"/>
      <c r="H74" s="778"/>
      <c r="I74" s="778"/>
      <c r="J74" s="778"/>
      <c r="K74" s="774"/>
    </row>
    <row r="75" spans="3:11">
      <c r="C75" s="776">
        <v>200</v>
      </c>
      <c r="D75" s="775"/>
      <c r="E75" s="778" t="s">
        <v>439</v>
      </c>
      <c r="F75" s="778"/>
      <c r="G75" s="778"/>
      <c r="H75" s="778"/>
      <c r="I75" s="778"/>
      <c r="J75" s="778"/>
      <c r="K75" s="774"/>
    </row>
    <row r="78" spans="3:11">
      <c r="C78" s="1302" t="s">
        <v>481</v>
      </c>
      <c r="D78" s="1303"/>
      <c r="E78" s="1303"/>
      <c r="F78" s="1303"/>
      <c r="G78" s="1303"/>
      <c r="H78" s="1303"/>
      <c r="I78" s="1303"/>
      <c r="J78" s="1303"/>
      <c r="K78" s="1304"/>
    </row>
    <row r="79" spans="3:11">
      <c r="C79" s="771">
        <v>1.5</v>
      </c>
      <c r="D79" s="771"/>
      <c r="E79" s="771">
        <v>3.75</v>
      </c>
      <c r="F79" s="771"/>
      <c r="G79" s="771"/>
      <c r="H79" s="771"/>
      <c r="I79" s="771">
        <v>3.75</v>
      </c>
      <c r="J79" s="771"/>
      <c r="K79" s="771">
        <v>1.5</v>
      </c>
    </row>
    <row r="80" spans="3:11">
      <c r="C80" s="772">
        <f>SUM(C79:K79)</f>
        <v>10.5</v>
      </c>
      <c r="D80" s="773" t="s">
        <v>69</v>
      </c>
      <c r="E80" s="773">
        <v>60</v>
      </c>
      <c r="F80" s="773">
        <v>70</v>
      </c>
      <c r="G80" s="773">
        <v>80</v>
      </c>
      <c r="H80" s="773">
        <v>90</v>
      </c>
      <c r="I80" s="773">
        <v>100</v>
      </c>
      <c r="J80" s="773"/>
      <c r="K80" s="773"/>
    </row>
    <row r="81" spans="3:11">
      <c r="C81" s="773"/>
      <c r="D81" s="773" t="s">
        <v>464</v>
      </c>
      <c r="E81" s="773">
        <v>76</v>
      </c>
      <c r="F81" s="773">
        <v>97</v>
      </c>
      <c r="G81" s="773">
        <v>122</v>
      </c>
      <c r="H81" s="773">
        <v>151</v>
      </c>
      <c r="I81" s="773">
        <v>185</v>
      </c>
      <c r="J81" s="773"/>
      <c r="K81" s="774"/>
    </row>
    <row r="82" spans="3:11">
      <c r="C82" s="775"/>
      <c r="D82" s="773" t="s">
        <v>436</v>
      </c>
      <c r="E82" s="776">
        <v>129</v>
      </c>
      <c r="F82" s="776">
        <v>196</v>
      </c>
      <c r="G82" s="776">
        <v>280</v>
      </c>
      <c r="H82" s="776">
        <v>380</v>
      </c>
      <c r="I82" s="776">
        <v>492</v>
      </c>
      <c r="J82" s="776"/>
      <c r="K82" s="774"/>
    </row>
    <row r="83" spans="3:11">
      <c r="C83" s="775"/>
      <c r="D83" s="773" t="s">
        <v>437</v>
      </c>
      <c r="E83" s="776">
        <v>1590</v>
      </c>
      <c r="F83" s="776">
        <v>2150</v>
      </c>
      <c r="G83" s="776">
        <v>2840</v>
      </c>
      <c r="H83" s="776">
        <v>3640</v>
      </c>
      <c r="I83" s="776">
        <v>4590</v>
      </c>
      <c r="J83" s="776"/>
      <c r="K83" s="774"/>
    </row>
    <row r="84" spans="3:11">
      <c r="C84" s="773" t="s">
        <v>180</v>
      </c>
      <c r="D84" s="773" t="s">
        <v>438</v>
      </c>
      <c r="E84" s="776">
        <v>1550</v>
      </c>
      <c r="F84" s="776">
        <v>2530</v>
      </c>
      <c r="G84" s="776">
        <v>4000</v>
      </c>
      <c r="H84" s="776">
        <v>6120</v>
      </c>
      <c r="I84" s="776">
        <v>9190</v>
      </c>
      <c r="J84" s="776"/>
      <c r="K84" s="774"/>
    </row>
    <row r="85" spans="3:11">
      <c r="C85" s="776">
        <v>2461</v>
      </c>
      <c r="D85" s="777"/>
      <c r="E85" s="778"/>
      <c r="F85" s="778"/>
      <c r="G85" s="778"/>
      <c r="H85" s="778"/>
      <c r="I85" s="778"/>
      <c r="J85" s="778"/>
      <c r="K85" s="779"/>
    </row>
    <row r="86" spans="3:11">
      <c r="C86" s="776">
        <v>1300</v>
      </c>
      <c r="D86" s="777"/>
      <c r="E86" s="778"/>
      <c r="F86" s="778"/>
      <c r="G86" s="778"/>
      <c r="H86" s="778"/>
      <c r="I86" s="778"/>
      <c r="J86" s="778"/>
      <c r="K86" s="779"/>
    </row>
    <row r="87" spans="3:11">
      <c r="C87" s="776">
        <v>1200</v>
      </c>
      <c r="D87" s="777"/>
      <c r="E87" s="778"/>
      <c r="F87" s="778"/>
      <c r="G87" s="778"/>
      <c r="H87" s="778"/>
      <c r="I87" s="778">
        <v>0.2</v>
      </c>
      <c r="J87" s="778"/>
      <c r="K87" s="779"/>
    </row>
    <row r="88" spans="3:11">
      <c r="C88" s="776">
        <v>1100</v>
      </c>
      <c r="D88" s="777"/>
      <c r="E88" s="778"/>
      <c r="F88" s="778"/>
      <c r="G88" s="778"/>
      <c r="H88" s="778"/>
      <c r="I88" s="778">
        <v>0.55000000000000004</v>
      </c>
      <c r="J88" s="778"/>
      <c r="K88" s="779"/>
    </row>
    <row r="89" spans="3:11">
      <c r="C89" s="776">
        <v>1000</v>
      </c>
      <c r="D89" s="777"/>
      <c r="E89" s="778"/>
      <c r="F89" s="778"/>
      <c r="G89" s="778"/>
      <c r="H89" s="778"/>
      <c r="I89" s="778">
        <v>0.95</v>
      </c>
      <c r="J89" s="778"/>
      <c r="K89" s="779"/>
    </row>
    <row r="90" spans="3:11">
      <c r="C90" s="776">
        <v>950</v>
      </c>
      <c r="D90" s="777"/>
      <c r="E90" s="778"/>
      <c r="F90" s="778"/>
      <c r="G90" s="778"/>
      <c r="H90" s="778"/>
      <c r="I90" s="778">
        <v>1.1499999999999999</v>
      </c>
      <c r="J90" s="778"/>
      <c r="K90" s="779"/>
    </row>
    <row r="91" spans="3:11">
      <c r="C91" s="776">
        <v>900</v>
      </c>
      <c r="D91" s="777"/>
      <c r="E91" s="778"/>
      <c r="F91" s="778"/>
      <c r="G91" s="778"/>
      <c r="H91" s="778"/>
      <c r="I91" s="778">
        <v>1.4</v>
      </c>
      <c r="J91" s="778"/>
      <c r="K91" s="779"/>
    </row>
    <row r="92" spans="3:11">
      <c r="C92" s="776">
        <v>850</v>
      </c>
      <c r="D92" s="777"/>
      <c r="E92" s="778"/>
      <c r="F92" s="778"/>
      <c r="G92" s="778"/>
      <c r="H92" s="778"/>
      <c r="I92" s="778">
        <v>1.7</v>
      </c>
      <c r="J92" s="778"/>
      <c r="K92" s="779"/>
    </row>
    <row r="93" spans="3:11">
      <c r="C93" s="776">
        <v>800</v>
      </c>
      <c r="D93" s="777"/>
      <c r="E93" s="778"/>
      <c r="F93" s="778"/>
      <c r="G93" s="778"/>
      <c r="H93" s="778">
        <v>0.2</v>
      </c>
      <c r="I93" s="778">
        <v>2</v>
      </c>
      <c r="J93" s="778"/>
      <c r="K93" s="779"/>
    </row>
    <row r="94" spans="3:11">
      <c r="C94" s="776">
        <v>750</v>
      </c>
      <c r="D94" s="777"/>
      <c r="E94" s="778"/>
      <c r="F94" s="778"/>
      <c r="G94" s="778"/>
      <c r="H94" s="778">
        <v>0.45</v>
      </c>
      <c r="I94" s="778">
        <v>2.35</v>
      </c>
      <c r="J94" s="778"/>
      <c r="K94" s="779"/>
    </row>
    <row r="95" spans="3:11">
      <c r="C95" s="776">
        <v>700</v>
      </c>
      <c r="D95" s="777"/>
      <c r="E95" s="778"/>
      <c r="F95" s="778"/>
      <c r="G95" s="778"/>
      <c r="H95" s="778">
        <v>0.7</v>
      </c>
      <c r="I95" s="778">
        <v>2.75</v>
      </c>
      <c r="J95" s="778"/>
      <c r="K95" s="779"/>
    </row>
    <row r="96" spans="3:11">
      <c r="C96" s="776">
        <v>650</v>
      </c>
      <c r="D96" s="777"/>
      <c r="E96" s="778"/>
      <c r="F96" s="778"/>
      <c r="G96" s="778"/>
      <c r="H96" s="778">
        <v>1</v>
      </c>
      <c r="I96" s="778">
        <v>3.25</v>
      </c>
      <c r="J96" s="778"/>
      <c r="K96" s="779"/>
    </row>
    <row r="97" spans="3:11">
      <c r="C97" s="776">
        <v>600</v>
      </c>
      <c r="D97" s="777"/>
      <c r="E97" s="778"/>
      <c r="F97" s="778"/>
      <c r="G97" s="778"/>
      <c r="H97" s="778">
        <v>1.4</v>
      </c>
      <c r="I97" s="778">
        <v>3.8</v>
      </c>
      <c r="J97" s="778"/>
      <c r="K97" s="779"/>
    </row>
    <row r="98" spans="3:11">
      <c r="C98" s="776">
        <v>550</v>
      </c>
      <c r="D98" s="777"/>
      <c r="E98" s="778"/>
      <c r="F98" s="778"/>
      <c r="G98" s="778"/>
      <c r="H98" s="778">
        <v>1.8</v>
      </c>
      <c r="I98" s="778">
        <v>4.45</v>
      </c>
      <c r="J98" s="778"/>
      <c r="K98" s="779"/>
    </row>
    <row r="99" spans="3:11">
      <c r="C99" s="776">
        <v>500</v>
      </c>
      <c r="D99" s="777"/>
      <c r="E99" s="778"/>
      <c r="F99" s="778"/>
      <c r="G99" s="778">
        <v>0.35</v>
      </c>
      <c r="H99" s="778">
        <v>2.35</v>
      </c>
      <c r="I99" s="778">
        <v>5.2</v>
      </c>
      <c r="J99" s="778"/>
      <c r="K99" s="779"/>
    </row>
    <row r="100" spans="3:11">
      <c r="C100" s="776">
        <v>450</v>
      </c>
      <c r="D100" s="777"/>
      <c r="E100" s="778"/>
      <c r="F100" s="778"/>
      <c r="G100" s="778">
        <v>0.75</v>
      </c>
      <c r="H100" s="778">
        <v>2.95</v>
      </c>
      <c r="I100" s="778"/>
      <c r="J100" s="778"/>
      <c r="K100" s="779"/>
    </row>
    <row r="101" spans="3:11">
      <c r="C101" s="776">
        <v>400</v>
      </c>
      <c r="D101" s="777"/>
      <c r="E101" s="778"/>
      <c r="F101" s="778"/>
      <c r="G101" s="778">
        <v>1.3</v>
      </c>
      <c r="H101" s="778">
        <v>3.75</v>
      </c>
      <c r="I101" s="778"/>
      <c r="J101" s="778"/>
      <c r="K101" s="779"/>
    </row>
    <row r="102" spans="3:11">
      <c r="C102" s="776">
        <v>350</v>
      </c>
      <c r="D102" s="775"/>
      <c r="E102" s="778"/>
      <c r="F102" s="778"/>
      <c r="G102" s="778">
        <v>1.95</v>
      </c>
      <c r="H102" s="778"/>
      <c r="I102" s="778"/>
      <c r="J102" s="778"/>
      <c r="K102" s="779"/>
    </row>
    <row r="103" spans="3:11">
      <c r="C103" s="776">
        <v>300</v>
      </c>
      <c r="D103" s="775"/>
      <c r="E103" s="778"/>
      <c r="F103" s="778">
        <v>0.55000000000000004</v>
      </c>
      <c r="G103" s="778">
        <v>2.8</v>
      </c>
      <c r="H103" s="778"/>
      <c r="I103" s="778"/>
      <c r="J103" s="778"/>
      <c r="K103" s="779"/>
    </row>
    <row r="104" spans="3:11">
      <c r="C104" s="776">
        <v>250</v>
      </c>
      <c r="D104" s="775"/>
      <c r="E104" s="778"/>
      <c r="F104" s="778">
        <v>1.35</v>
      </c>
      <c r="G104" s="778"/>
      <c r="H104" s="778"/>
      <c r="I104" s="778"/>
      <c r="J104" s="778"/>
      <c r="K104" s="779"/>
    </row>
    <row r="105" spans="3:11">
      <c r="C105" s="776">
        <v>200</v>
      </c>
      <c r="D105" s="775"/>
      <c r="E105" s="778">
        <v>0.2</v>
      </c>
      <c r="F105" s="778">
        <v>2.5</v>
      </c>
      <c r="G105" s="778"/>
      <c r="H105" s="778"/>
      <c r="I105" s="778"/>
      <c r="J105" s="778"/>
      <c r="K105" s="779"/>
    </row>
    <row r="106" spans="3:11">
      <c r="C106" s="776">
        <v>150</v>
      </c>
      <c r="D106" s="775"/>
      <c r="E106" s="778">
        <v>1.4</v>
      </c>
      <c r="F106" s="778"/>
      <c r="G106" s="778"/>
      <c r="H106" s="778"/>
      <c r="I106" s="778"/>
      <c r="J106" s="778"/>
      <c r="K106" s="779"/>
    </row>
    <row r="107" spans="3:11">
      <c r="C107" s="776">
        <v>130</v>
      </c>
      <c r="D107" s="775"/>
      <c r="E107" s="778">
        <v>2.15</v>
      </c>
      <c r="F107" s="778"/>
      <c r="G107" s="778"/>
      <c r="H107" s="778"/>
      <c r="I107" s="778"/>
      <c r="J107" s="778"/>
      <c r="K107" s="779"/>
    </row>
    <row r="108" spans="3:11">
      <c r="C108" s="776"/>
      <c r="D108" s="775"/>
      <c r="E108" s="778"/>
      <c r="F108" s="778"/>
      <c r="G108" s="778"/>
      <c r="H108" s="778"/>
      <c r="I108" s="778"/>
      <c r="J108" s="778"/>
      <c r="K108" s="779"/>
    </row>
    <row r="109" spans="3:11">
      <c r="C109" s="776"/>
      <c r="D109" s="775"/>
      <c r="E109" s="778"/>
      <c r="F109" s="778"/>
      <c r="G109" s="778"/>
      <c r="H109" s="778"/>
      <c r="I109" s="778"/>
      <c r="J109" s="778"/>
      <c r="K109" s="779"/>
    </row>
    <row r="110" spans="3:11">
      <c r="C110" s="776"/>
      <c r="D110" s="775"/>
      <c r="E110" s="778"/>
      <c r="F110" s="778"/>
      <c r="G110" s="778"/>
      <c r="H110" s="778"/>
      <c r="I110" s="778"/>
      <c r="J110" s="778"/>
      <c r="K110" s="779"/>
    </row>
    <row r="111" spans="3:11">
      <c r="C111" s="776"/>
      <c r="D111" s="775"/>
      <c r="E111" s="778"/>
      <c r="F111" s="778"/>
      <c r="G111" s="778"/>
      <c r="H111" s="778"/>
      <c r="I111" s="778"/>
      <c r="J111" s="778"/>
      <c r="K111" s="779"/>
    </row>
    <row r="112" spans="3:11">
      <c r="C112" s="776"/>
      <c r="D112" s="775"/>
      <c r="E112" s="778"/>
      <c r="F112" s="778"/>
      <c r="G112" s="778"/>
      <c r="H112" s="778"/>
      <c r="I112" s="778"/>
      <c r="J112" s="778"/>
      <c r="K112" s="779"/>
    </row>
    <row r="113" spans="3:11">
      <c r="C113" s="776"/>
      <c r="D113" s="775"/>
      <c r="E113" s="778"/>
      <c r="F113" s="778"/>
      <c r="G113" s="778"/>
      <c r="H113" s="778"/>
      <c r="I113" s="778"/>
      <c r="J113" s="778"/>
      <c r="K113" s="779"/>
    </row>
  </sheetData>
  <mergeCells count="3">
    <mergeCell ref="C3:K3"/>
    <mergeCell ref="C78:K78"/>
    <mergeCell ref="C41:K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10" orientation="landscape" r:id="rId1"/>
  <headerFooter>
    <oddHeader>&amp;L&amp;F\&amp;A&amp;R&amp;D\&amp;T</oddHeader>
    <oddFooter>&amp;R&amp;P/&amp;N</oddFooter>
  </headerFooter>
  <rowBreaks count="2" manualBreakCount="2">
    <brk id="39" min="2" max="10" man="1"/>
    <brk id="76" min="2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3"/>
  <dimension ref="C1:AT212"/>
  <sheetViews>
    <sheetView topLeftCell="A58" zoomScaleNormal="100" zoomScaleSheetLayoutView="70" workbookViewId="0">
      <selection activeCell="C67" sqref="C67:E67"/>
    </sheetView>
  </sheetViews>
  <sheetFormatPr defaultRowHeight="12"/>
  <cols>
    <col min="1" max="2" width="3.140625" style="842" customWidth="1"/>
    <col min="3" max="3" width="9.42578125" style="842" customWidth="1"/>
    <col min="4" max="10" width="8.42578125" style="842" customWidth="1"/>
    <col min="11" max="11" width="8.28515625" style="842" customWidth="1"/>
    <col min="12" max="15" width="8.42578125" style="842" customWidth="1"/>
    <col min="16" max="16" width="9.5703125" style="842" customWidth="1"/>
    <col min="17" max="30" width="9.28515625" style="842" bestFit="1" customWidth="1"/>
    <col min="31" max="31" width="9.140625" style="843"/>
    <col min="32" max="32" width="9.140625" style="842"/>
    <col min="33" max="33" width="9.28515625" style="842" bestFit="1" customWidth="1"/>
    <col min="34" max="38" width="9.7109375" style="842" bestFit="1" customWidth="1"/>
    <col min="39" max="42" width="9.28515625" style="842" bestFit="1" customWidth="1"/>
    <col min="43" max="46" width="9.7109375" style="842" bestFit="1" customWidth="1"/>
    <col min="47" max="16384" width="9.140625" style="842"/>
  </cols>
  <sheetData>
    <row r="1" spans="3:46" ht="12.75" thickBot="1">
      <c r="C1" s="837" t="s">
        <v>25</v>
      </c>
      <c r="D1" s="838" t="s">
        <v>21</v>
      </c>
      <c r="E1" s="839" t="s">
        <v>22</v>
      </c>
      <c r="F1" s="840" t="s">
        <v>23</v>
      </c>
      <c r="G1" s="841" t="s">
        <v>24</v>
      </c>
    </row>
    <row r="2" spans="3:46" s="843" customFormat="1" ht="12.75" thickBot="1">
      <c r="C2" s="844"/>
      <c r="D2" s="844"/>
      <c r="E2" s="844"/>
      <c r="F2" s="844"/>
      <c r="G2" s="844"/>
    </row>
    <row r="3" spans="3:46" s="843" customFormat="1" ht="12.75" thickBot="1">
      <c r="C3" s="1331" t="s">
        <v>247</v>
      </c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3"/>
      <c r="Q3" s="1331" t="s">
        <v>248</v>
      </c>
      <c r="R3" s="1332"/>
      <c r="S3" s="1332"/>
      <c r="T3" s="1332"/>
      <c r="U3" s="1332"/>
      <c r="V3" s="1332"/>
      <c r="W3" s="1332"/>
      <c r="X3" s="1332"/>
      <c r="Y3" s="1332"/>
      <c r="Z3" s="1332"/>
      <c r="AA3" s="1332"/>
      <c r="AB3" s="1332"/>
      <c r="AC3" s="1332"/>
      <c r="AD3" s="1333"/>
      <c r="AE3" s="845"/>
      <c r="AG3" s="1331" t="s">
        <v>249</v>
      </c>
      <c r="AH3" s="1332"/>
      <c r="AI3" s="1332"/>
      <c r="AJ3" s="1332"/>
      <c r="AK3" s="1332"/>
      <c r="AL3" s="1332"/>
      <c r="AM3" s="1332"/>
      <c r="AN3" s="1332"/>
      <c r="AO3" s="1332"/>
      <c r="AP3" s="1332"/>
      <c r="AQ3" s="1332"/>
      <c r="AR3" s="1332"/>
      <c r="AS3" s="1332"/>
      <c r="AT3" s="1333"/>
    </row>
    <row r="4" spans="3:46" ht="12.75" thickBot="1"/>
    <row r="5" spans="3:46" ht="12.75" thickBot="1">
      <c r="C5" s="1331" t="s">
        <v>52</v>
      </c>
      <c r="D5" s="1332"/>
      <c r="E5" s="1332"/>
      <c r="F5" s="1332"/>
      <c r="G5" s="1332"/>
      <c r="H5" s="1332"/>
      <c r="I5" s="1332"/>
      <c r="J5" s="1332"/>
      <c r="K5" s="1333"/>
      <c r="M5" s="1334" t="s">
        <v>190</v>
      </c>
      <c r="N5" s="1335"/>
      <c r="O5" s="1336"/>
      <c r="Q5" s="1331" t="s">
        <v>120</v>
      </c>
      <c r="R5" s="1332"/>
      <c r="S5" s="1332"/>
      <c r="T5" s="1332"/>
      <c r="U5" s="1332"/>
      <c r="V5" s="1332"/>
      <c r="W5" s="1332"/>
      <c r="X5" s="1332"/>
      <c r="Y5" s="1332"/>
      <c r="Z5" s="1332"/>
      <c r="AA5" s="1332"/>
      <c r="AB5" s="1332"/>
      <c r="AC5" s="1332"/>
      <c r="AD5" s="1333"/>
      <c r="AE5" s="845"/>
      <c r="AG5" s="1328" t="s">
        <v>116</v>
      </c>
      <c r="AH5" s="1329"/>
      <c r="AI5" s="1329"/>
      <c r="AJ5" s="1329"/>
      <c r="AK5" s="1329"/>
      <c r="AL5" s="1329"/>
      <c r="AM5" s="1329"/>
      <c r="AN5" s="1329"/>
      <c r="AO5" s="1329"/>
      <c r="AP5" s="1329"/>
      <c r="AQ5" s="1329"/>
      <c r="AR5" s="1329"/>
      <c r="AS5" s="1329"/>
      <c r="AT5" s="1330"/>
    </row>
    <row r="6" spans="3:46">
      <c r="C6" s="846" t="s">
        <v>60</v>
      </c>
      <c r="D6" s="847">
        <v>80</v>
      </c>
      <c r="E6" s="847">
        <v>90</v>
      </c>
      <c r="F6" s="847">
        <v>100</v>
      </c>
      <c r="G6" s="847">
        <v>110</v>
      </c>
      <c r="H6" s="847">
        <v>120</v>
      </c>
      <c r="I6" s="847">
        <v>130</v>
      </c>
      <c r="J6" s="847">
        <v>140</v>
      </c>
      <c r="K6" s="848"/>
      <c r="M6" s="1337"/>
      <c r="N6" s="1338"/>
      <c r="O6" s="1339"/>
      <c r="Q6" s="933" t="s">
        <v>114</v>
      </c>
      <c r="R6" s="934">
        <v>25</v>
      </c>
      <c r="S6" s="934">
        <v>30</v>
      </c>
      <c r="T6" s="934">
        <v>40</v>
      </c>
      <c r="U6" s="934">
        <v>50</v>
      </c>
      <c r="V6" s="934">
        <v>60</v>
      </c>
      <c r="W6" s="934">
        <v>70</v>
      </c>
      <c r="X6" s="934">
        <v>80</v>
      </c>
      <c r="Y6" s="934">
        <v>90</v>
      </c>
      <c r="Z6" s="934">
        <v>100</v>
      </c>
      <c r="AA6" s="934">
        <v>110</v>
      </c>
      <c r="AB6" s="934">
        <v>120</v>
      </c>
      <c r="AC6" s="934">
        <v>130</v>
      </c>
      <c r="AD6" s="935">
        <v>140</v>
      </c>
      <c r="AE6" s="851"/>
      <c r="AG6" s="835" t="s">
        <v>114</v>
      </c>
      <c r="AH6" s="849">
        <v>25</v>
      </c>
      <c r="AI6" s="849">
        <v>30</v>
      </c>
      <c r="AJ6" s="849">
        <v>40</v>
      </c>
      <c r="AK6" s="849">
        <v>50</v>
      </c>
      <c r="AL6" s="849">
        <v>60</v>
      </c>
      <c r="AM6" s="849">
        <v>70</v>
      </c>
      <c r="AN6" s="849">
        <v>80</v>
      </c>
      <c r="AO6" s="849">
        <v>90</v>
      </c>
      <c r="AP6" s="849">
        <v>100</v>
      </c>
      <c r="AQ6" s="849">
        <v>110</v>
      </c>
      <c r="AR6" s="849">
        <v>120</v>
      </c>
      <c r="AS6" s="849">
        <v>130</v>
      </c>
      <c r="AT6" s="850">
        <v>140</v>
      </c>
    </row>
    <row r="7" spans="3:46">
      <c r="C7" s="600">
        <v>-6</v>
      </c>
      <c r="D7" s="852">
        <v>99.7</v>
      </c>
      <c r="E7" s="852">
        <v>120</v>
      </c>
      <c r="F7" s="852">
        <v>142.4</v>
      </c>
      <c r="G7" s="852">
        <v>167.3</v>
      </c>
      <c r="H7" s="852">
        <v>194.9</v>
      </c>
      <c r="I7" s="852">
        <v>225.1</v>
      </c>
      <c r="J7" s="852">
        <v>256.8</v>
      </c>
      <c r="K7" s="601">
        <v>-6</v>
      </c>
      <c r="L7" s="853"/>
      <c r="M7" s="1337"/>
      <c r="N7" s="1338"/>
      <c r="O7" s="1339"/>
      <c r="Q7" s="835" t="s">
        <v>6</v>
      </c>
      <c r="R7" s="849"/>
      <c r="S7" s="849"/>
      <c r="T7" s="849"/>
      <c r="U7" s="849"/>
      <c r="V7" s="849"/>
      <c r="W7" s="849"/>
      <c r="X7" s="849"/>
      <c r="Y7" s="854">
        <v>339</v>
      </c>
      <c r="Z7" s="854">
        <v>437</v>
      </c>
      <c r="AA7" s="854">
        <v>545</v>
      </c>
      <c r="AB7" s="854">
        <v>666</v>
      </c>
      <c r="AC7" s="854">
        <v>807</v>
      </c>
      <c r="AD7" s="855">
        <v>964</v>
      </c>
      <c r="AE7" s="851"/>
      <c r="AG7" s="835" t="s">
        <v>6</v>
      </c>
      <c r="AH7" s="856"/>
      <c r="AI7" s="856"/>
      <c r="AJ7" s="856"/>
      <c r="AK7" s="856"/>
      <c r="AL7" s="856"/>
      <c r="AM7" s="856"/>
      <c r="AN7" s="856"/>
      <c r="AO7" s="857">
        <v>3650</v>
      </c>
      <c r="AP7" s="857">
        <v>5150</v>
      </c>
      <c r="AQ7" s="857">
        <v>7000</v>
      </c>
      <c r="AR7" s="857">
        <v>9500</v>
      </c>
      <c r="AS7" s="857">
        <v>12650</v>
      </c>
      <c r="AT7" s="858">
        <v>16250</v>
      </c>
    </row>
    <row r="8" spans="3:46" ht="12.75" thickBot="1">
      <c r="C8" s="600">
        <v>-5</v>
      </c>
      <c r="D8" s="852">
        <v>98</v>
      </c>
      <c r="E8" s="852">
        <v>117.8</v>
      </c>
      <c r="F8" s="852">
        <v>140</v>
      </c>
      <c r="G8" s="852">
        <v>164.1</v>
      </c>
      <c r="H8" s="852">
        <v>191.2</v>
      </c>
      <c r="I8" s="852">
        <v>220.3</v>
      </c>
      <c r="J8" s="852">
        <v>251.8</v>
      </c>
      <c r="K8" s="601">
        <v>-5</v>
      </c>
      <c r="L8" s="853"/>
      <c r="M8" s="1340"/>
      <c r="N8" s="1341"/>
      <c r="O8" s="1342"/>
      <c r="Q8" s="835" t="s">
        <v>8</v>
      </c>
      <c r="R8" s="849"/>
      <c r="S8" s="849"/>
      <c r="T8" s="849"/>
      <c r="U8" s="849"/>
      <c r="V8" s="849"/>
      <c r="W8" s="854">
        <v>177</v>
      </c>
      <c r="X8" s="854">
        <v>252</v>
      </c>
      <c r="Y8" s="854">
        <v>339</v>
      </c>
      <c r="Z8" s="854">
        <v>437</v>
      </c>
      <c r="AA8" s="854">
        <v>545</v>
      </c>
      <c r="AB8" s="854">
        <v>666</v>
      </c>
      <c r="AC8" s="849"/>
      <c r="AD8" s="850"/>
      <c r="AE8" s="851"/>
      <c r="AG8" s="835" t="s">
        <v>8</v>
      </c>
      <c r="AH8" s="856"/>
      <c r="AI8" s="856"/>
      <c r="AJ8" s="856"/>
      <c r="AK8" s="856"/>
      <c r="AL8" s="856"/>
      <c r="AM8" s="857">
        <v>2450</v>
      </c>
      <c r="AN8" s="857">
        <v>3900</v>
      </c>
      <c r="AO8" s="857">
        <v>6050</v>
      </c>
      <c r="AP8" s="857">
        <v>9100</v>
      </c>
      <c r="AQ8" s="857">
        <v>13500</v>
      </c>
      <c r="AR8" s="857">
        <v>19600</v>
      </c>
      <c r="AS8" s="856"/>
      <c r="AT8" s="859"/>
    </row>
    <row r="9" spans="3:46">
      <c r="C9" s="600">
        <v>-4</v>
      </c>
      <c r="D9" s="852">
        <v>96.6</v>
      </c>
      <c r="E9" s="852">
        <v>116.1</v>
      </c>
      <c r="F9" s="852">
        <v>137.80000000000001</v>
      </c>
      <c r="G9" s="852">
        <v>161.19999999999999</v>
      </c>
      <c r="H9" s="852">
        <v>187.7</v>
      </c>
      <c r="I9" s="852">
        <v>216.1</v>
      </c>
      <c r="J9" s="852">
        <v>246.7</v>
      </c>
      <c r="K9" s="601">
        <v>-4</v>
      </c>
      <c r="L9" s="853"/>
      <c r="M9" s="846" t="s">
        <v>176</v>
      </c>
      <c r="N9" s="860" t="s">
        <v>178</v>
      </c>
      <c r="O9" s="848" t="s">
        <v>179</v>
      </c>
      <c r="Q9" s="835" t="s">
        <v>9</v>
      </c>
      <c r="R9" s="849"/>
      <c r="S9" s="849"/>
      <c r="T9" s="849"/>
      <c r="U9" s="849"/>
      <c r="V9" s="854">
        <v>118</v>
      </c>
      <c r="W9" s="854">
        <v>177</v>
      </c>
      <c r="X9" s="854">
        <v>252</v>
      </c>
      <c r="Y9" s="854">
        <v>339</v>
      </c>
      <c r="Z9" s="854">
        <v>437</v>
      </c>
      <c r="AA9" s="849"/>
      <c r="AB9" s="849"/>
      <c r="AC9" s="849"/>
      <c r="AD9" s="850"/>
      <c r="AE9" s="851"/>
      <c r="AG9" s="835" t="s">
        <v>9</v>
      </c>
      <c r="AH9" s="856"/>
      <c r="AI9" s="856"/>
      <c r="AJ9" s="856"/>
      <c r="AK9" s="856"/>
      <c r="AL9" s="857">
        <v>1500</v>
      </c>
      <c r="AM9" s="857">
        <v>2450</v>
      </c>
      <c r="AN9" s="857">
        <v>3900</v>
      </c>
      <c r="AO9" s="857">
        <v>6050</v>
      </c>
      <c r="AP9" s="857">
        <v>9100</v>
      </c>
      <c r="AQ9" s="856"/>
      <c r="AR9" s="856"/>
      <c r="AS9" s="856"/>
      <c r="AT9" s="859"/>
    </row>
    <row r="10" spans="3:46">
      <c r="C10" s="600">
        <v>-3</v>
      </c>
      <c r="D10" s="852">
        <v>95.4</v>
      </c>
      <c r="E10" s="852">
        <v>114.7</v>
      </c>
      <c r="F10" s="852">
        <v>135.69999999999999</v>
      </c>
      <c r="G10" s="852">
        <v>158.6</v>
      </c>
      <c r="H10" s="852">
        <v>184.5</v>
      </c>
      <c r="I10" s="852">
        <v>212.2</v>
      </c>
      <c r="J10" s="852">
        <v>241.8</v>
      </c>
      <c r="K10" s="601">
        <v>-3</v>
      </c>
      <c r="L10" s="853"/>
      <c r="M10" s="600">
        <v>40</v>
      </c>
      <c r="N10" s="861">
        <v>104</v>
      </c>
      <c r="O10" s="862">
        <v>220</v>
      </c>
      <c r="Q10" s="835" t="s">
        <v>12</v>
      </c>
      <c r="R10" s="849"/>
      <c r="S10" s="849"/>
      <c r="T10" s="849"/>
      <c r="U10" s="854">
        <v>77</v>
      </c>
      <c r="V10" s="854">
        <v>113</v>
      </c>
      <c r="W10" s="854">
        <v>163</v>
      </c>
      <c r="X10" s="854">
        <v>240</v>
      </c>
      <c r="Y10" s="849"/>
      <c r="Z10" s="849"/>
      <c r="AA10" s="849"/>
      <c r="AB10" s="849"/>
      <c r="AC10" s="849"/>
      <c r="AD10" s="850"/>
      <c r="AE10" s="851"/>
      <c r="AG10" s="835" t="s">
        <v>12</v>
      </c>
      <c r="AH10" s="856"/>
      <c r="AI10" s="856"/>
      <c r="AJ10" s="856"/>
      <c r="AK10" s="857">
        <v>850</v>
      </c>
      <c r="AL10" s="857">
        <v>1500</v>
      </c>
      <c r="AM10" s="857">
        <v>2450</v>
      </c>
      <c r="AN10" s="857">
        <v>3900</v>
      </c>
      <c r="AO10" s="856"/>
      <c r="AP10" s="856"/>
      <c r="AQ10" s="856"/>
      <c r="AR10" s="856"/>
      <c r="AS10" s="856"/>
      <c r="AT10" s="859"/>
    </row>
    <row r="11" spans="3:46">
      <c r="C11" s="600">
        <v>-2</v>
      </c>
      <c r="D11" s="852">
        <v>94.4</v>
      </c>
      <c r="E11" s="852">
        <v>113.4</v>
      </c>
      <c r="F11" s="852">
        <v>133.80000000000001</v>
      </c>
      <c r="G11" s="852">
        <v>156.30000000000001</v>
      </c>
      <c r="H11" s="852">
        <v>181.5</v>
      </c>
      <c r="I11" s="852">
        <v>208.6</v>
      </c>
      <c r="J11" s="852">
        <v>237</v>
      </c>
      <c r="K11" s="601">
        <v>-2</v>
      </c>
      <c r="L11" s="853"/>
      <c r="M11" s="600">
        <v>50</v>
      </c>
      <c r="N11" s="861">
        <v>130</v>
      </c>
      <c r="O11" s="862">
        <v>275</v>
      </c>
      <c r="Q11" s="835" t="s">
        <v>13</v>
      </c>
      <c r="R11" s="849"/>
      <c r="S11" s="849"/>
      <c r="T11" s="854">
        <v>51</v>
      </c>
      <c r="U11" s="854">
        <v>81</v>
      </c>
      <c r="V11" s="854">
        <v>121</v>
      </c>
      <c r="W11" s="849"/>
      <c r="X11" s="849"/>
      <c r="Y11" s="849"/>
      <c r="Z11" s="849"/>
      <c r="AA11" s="849"/>
      <c r="AB11" s="849"/>
      <c r="AC11" s="849"/>
      <c r="AD11" s="850"/>
      <c r="AE11" s="851"/>
      <c r="AG11" s="835" t="s">
        <v>13</v>
      </c>
      <c r="AH11" s="856"/>
      <c r="AI11" s="856"/>
      <c r="AJ11" s="857">
        <v>500</v>
      </c>
      <c r="AK11" s="857">
        <v>850</v>
      </c>
      <c r="AL11" s="857">
        <v>1500</v>
      </c>
      <c r="AM11" s="856"/>
      <c r="AN11" s="856"/>
      <c r="AO11" s="856"/>
      <c r="AP11" s="856"/>
      <c r="AQ11" s="856"/>
      <c r="AR11" s="856"/>
      <c r="AS11" s="856"/>
      <c r="AT11" s="859"/>
    </row>
    <row r="12" spans="3:46">
      <c r="C12" s="600">
        <v>-1</v>
      </c>
      <c r="D12" s="852">
        <v>93.5</v>
      </c>
      <c r="E12" s="852">
        <v>112.2</v>
      </c>
      <c r="F12" s="852">
        <v>132.1</v>
      </c>
      <c r="G12" s="852">
        <v>154.19999999999999</v>
      </c>
      <c r="H12" s="852">
        <v>178.7</v>
      </c>
      <c r="I12" s="852">
        <v>205.1</v>
      </c>
      <c r="J12" s="852">
        <v>232.5</v>
      </c>
      <c r="K12" s="601">
        <v>-1</v>
      </c>
      <c r="L12" s="853"/>
      <c r="M12" s="600">
        <v>60</v>
      </c>
      <c r="N12" s="861">
        <v>156</v>
      </c>
      <c r="O12" s="862">
        <v>330</v>
      </c>
      <c r="Q12" s="863" t="s">
        <v>118</v>
      </c>
      <c r="R12" s="864"/>
      <c r="S12" s="864"/>
      <c r="T12" s="865">
        <v>45</v>
      </c>
      <c r="U12" s="865">
        <v>75</v>
      </c>
      <c r="V12" s="865">
        <v>118</v>
      </c>
      <c r="W12" s="865">
        <v>177</v>
      </c>
      <c r="X12" s="865">
        <v>252</v>
      </c>
      <c r="Y12" s="865">
        <v>339</v>
      </c>
      <c r="Z12" s="865">
        <v>437</v>
      </c>
      <c r="AA12" s="864"/>
      <c r="AB12" s="864"/>
      <c r="AC12" s="864"/>
      <c r="AD12" s="866"/>
      <c r="AE12" s="851"/>
      <c r="AG12" s="863" t="s">
        <v>118</v>
      </c>
      <c r="AH12" s="867"/>
      <c r="AI12" s="867"/>
      <c r="AJ12" s="865">
        <v>450</v>
      </c>
      <c r="AK12" s="865">
        <v>850</v>
      </c>
      <c r="AL12" s="857">
        <v>1500</v>
      </c>
      <c r="AM12" s="857">
        <v>2450</v>
      </c>
      <c r="AN12" s="857">
        <v>3900</v>
      </c>
      <c r="AO12" s="857">
        <v>6050</v>
      </c>
      <c r="AP12" s="857">
        <v>9100</v>
      </c>
      <c r="AQ12" s="867"/>
      <c r="AR12" s="867"/>
      <c r="AS12" s="867"/>
      <c r="AT12" s="868"/>
    </row>
    <row r="13" spans="3:46" ht="12.75" thickBot="1">
      <c r="C13" s="600">
        <v>0</v>
      </c>
      <c r="D13" s="852">
        <v>92.7</v>
      </c>
      <c r="E13" s="852">
        <v>110.9</v>
      </c>
      <c r="F13" s="852">
        <v>130.4</v>
      </c>
      <c r="G13" s="852">
        <v>152.19999999999999</v>
      </c>
      <c r="H13" s="852">
        <v>176</v>
      </c>
      <c r="I13" s="852">
        <v>201.6</v>
      </c>
      <c r="J13" s="852">
        <v>228.4</v>
      </c>
      <c r="K13" s="601">
        <v>0</v>
      </c>
      <c r="L13" s="853"/>
      <c r="M13" s="600">
        <v>70</v>
      </c>
      <c r="N13" s="861">
        <v>182</v>
      </c>
      <c r="O13" s="862">
        <v>385</v>
      </c>
      <c r="Q13" s="836" t="s">
        <v>119</v>
      </c>
      <c r="R13" s="869">
        <v>19</v>
      </c>
      <c r="S13" s="869">
        <v>28</v>
      </c>
      <c r="T13" s="869">
        <v>51</v>
      </c>
      <c r="U13" s="869">
        <v>81</v>
      </c>
      <c r="V13" s="869">
        <v>121</v>
      </c>
      <c r="W13" s="870"/>
      <c r="X13" s="870"/>
      <c r="Y13" s="870"/>
      <c r="Z13" s="870"/>
      <c r="AA13" s="870"/>
      <c r="AB13" s="870"/>
      <c r="AC13" s="870"/>
      <c r="AD13" s="871"/>
      <c r="AE13" s="851"/>
      <c r="AG13" s="836" t="s">
        <v>119</v>
      </c>
      <c r="AH13" s="872">
        <v>200</v>
      </c>
      <c r="AI13" s="872">
        <v>250</v>
      </c>
      <c r="AJ13" s="872">
        <v>500</v>
      </c>
      <c r="AK13" s="872">
        <v>850</v>
      </c>
      <c r="AL13" s="872">
        <v>1500</v>
      </c>
      <c r="AM13" s="873"/>
      <c r="AN13" s="873"/>
      <c r="AO13" s="873"/>
      <c r="AP13" s="873"/>
      <c r="AQ13" s="873"/>
      <c r="AR13" s="873"/>
      <c r="AS13" s="873"/>
      <c r="AT13" s="874"/>
    </row>
    <row r="14" spans="3:46" ht="12.75" thickBot="1">
      <c r="C14" s="600">
        <v>1</v>
      </c>
      <c r="D14" s="852">
        <v>91.9</v>
      </c>
      <c r="E14" s="852">
        <v>109.7</v>
      </c>
      <c r="F14" s="852">
        <v>128.80000000000001</v>
      </c>
      <c r="G14" s="852">
        <v>150.30000000000001</v>
      </c>
      <c r="H14" s="852">
        <v>173.5</v>
      </c>
      <c r="I14" s="852">
        <v>198</v>
      </c>
      <c r="J14" s="852">
        <v>224.6</v>
      </c>
      <c r="K14" s="601">
        <v>1</v>
      </c>
      <c r="L14" s="853"/>
      <c r="M14" s="600">
        <v>80</v>
      </c>
      <c r="N14" s="861">
        <v>208</v>
      </c>
      <c r="O14" s="862">
        <v>440</v>
      </c>
    </row>
    <row r="15" spans="3:46" ht="12.75" thickBot="1">
      <c r="C15" s="600">
        <v>2</v>
      </c>
      <c r="D15" s="852">
        <v>91.1</v>
      </c>
      <c r="E15" s="852">
        <v>108.4</v>
      </c>
      <c r="F15" s="852">
        <v>127.4</v>
      </c>
      <c r="G15" s="852">
        <v>148.4</v>
      </c>
      <c r="H15" s="852">
        <v>170.9</v>
      </c>
      <c r="I15" s="852">
        <v>194.6</v>
      </c>
      <c r="J15" s="852">
        <v>221.2</v>
      </c>
      <c r="K15" s="601">
        <v>2</v>
      </c>
      <c r="L15" s="853"/>
      <c r="M15" s="600">
        <v>90</v>
      </c>
      <c r="N15" s="861">
        <v>234</v>
      </c>
      <c r="O15" s="862">
        <v>495</v>
      </c>
      <c r="Q15" s="1331" t="s">
        <v>121</v>
      </c>
      <c r="R15" s="1332"/>
      <c r="S15" s="1332"/>
      <c r="T15" s="1332"/>
      <c r="U15" s="1332"/>
      <c r="V15" s="1332"/>
      <c r="W15" s="1332"/>
      <c r="X15" s="1332"/>
      <c r="Y15" s="1332"/>
      <c r="Z15" s="1332"/>
      <c r="AA15" s="1333"/>
      <c r="AG15" s="1328" t="s">
        <v>117</v>
      </c>
      <c r="AH15" s="1329"/>
      <c r="AI15" s="1329"/>
      <c r="AJ15" s="1329"/>
      <c r="AK15" s="1329"/>
      <c r="AL15" s="1329"/>
      <c r="AM15" s="1329"/>
      <c r="AN15" s="1329"/>
      <c r="AO15" s="1329"/>
      <c r="AP15" s="1329"/>
      <c r="AQ15" s="1329"/>
      <c r="AR15" s="1329"/>
      <c r="AS15" s="1329"/>
      <c r="AT15" s="1330"/>
    </row>
    <row r="16" spans="3:46">
      <c r="C16" s="600">
        <v>3</v>
      </c>
      <c r="D16" s="852">
        <v>90.4</v>
      </c>
      <c r="E16" s="852">
        <v>107.1</v>
      </c>
      <c r="F16" s="852">
        <v>125.9</v>
      </c>
      <c r="G16" s="852">
        <v>146.6</v>
      </c>
      <c r="H16" s="852">
        <v>168.5</v>
      </c>
      <c r="I16" s="852">
        <v>191.3</v>
      </c>
      <c r="J16" s="852">
        <v>217.9</v>
      </c>
      <c r="K16" s="601">
        <v>3</v>
      </c>
      <c r="L16" s="853"/>
      <c r="M16" s="600">
        <v>100</v>
      </c>
      <c r="N16" s="861">
        <v>260</v>
      </c>
      <c r="O16" s="862">
        <v>550</v>
      </c>
      <c r="Q16" s="933" t="s">
        <v>115</v>
      </c>
      <c r="R16" s="936">
        <v>7.0000000000000007E-2</v>
      </c>
      <c r="S16" s="936">
        <v>6.5000000000000002E-2</v>
      </c>
      <c r="T16" s="936">
        <v>0.06</v>
      </c>
      <c r="U16" s="936">
        <v>5.5E-2</v>
      </c>
      <c r="V16" s="936">
        <v>0.05</v>
      </c>
      <c r="W16" s="936">
        <v>4.4999999999999998E-2</v>
      </c>
      <c r="X16" s="936">
        <v>0.04</v>
      </c>
      <c r="Y16" s="936">
        <v>3.5000000000000003E-2</v>
      </c>
      <c r="Z16" s="936">
        <v>0.03</v>
      </c>
      <c r="AA16" s="937">
        <v>2.5000000000000001E-2</v>
      </c>
      <c r="AG16" s="835" t="s">
        <v>114</v>
      </c>
      <c r="AH16" s="849">
        <v>25</v>
      </c>
      <c r="AI16" s="849">
        <v>30</v>
      </c>
      <c r="AJ16" s="849">
        <v>40</v>
      </c>
      <c r="AK16" s="849">
        <v>50</v>
      </c>
      <c r="AL16" s="849">
        <v>60</v>
      </c>
      <c r="AM16" s="849">
        <v>70</v>
      </c>
      <c r="AN16" s="849">
        <v>80</v>
      </c>
      <c r="AO16" s="849">
        <v>90</v>
      </c>
      <c r="AP16" s="849">
        <v>100</v>
      </c>
      <c r="AQ16" s="849">
        <v>110</v>
      </c>
      <c r="AR16" s="849">
        <v>120</v>
      </c>
      <c r="AS16" s="849">
        <v>130</v>
      </c>
      <c r="AT16" s="850">
        <v>140</v>
      </c>
    </row>
    <row r="17" spans="3:46">
      <c r="C17" s="600">
        <v>4</v>
      </c>
      <c r="D17" s="852">
        <v>89.6</v>
      </c>
      <c r="E17" s="852">
        <v>105.9</v>
      </c>
      <c r="F17" s="852">
        <v>124.6</v>
      </c>
      <c r="G17" s="852">
        <v>144.80000000000001</v>
      </c>
      <c r="H17" s="852">
        <v>166.2</v>
      </c>
      <c r="I17" s="852">
        <v>188.4</v>
      </c>
      <c r="J17" s="852">
        <v>214.6</v>
      </c>
      <c r="K17" s="601">
        <v>4</v>
      </c>
      <c r="L17" s="853"/>
      <c r="M17" s="600">
        <v>110</v>
      </c>
      <c r="N17" s="861">
        <v>286</v>
      </c>
      <c r="O17" s="862">
        <v>605</v>
      </c>
      <c r="Q17" s="600" t="s">
        <v>6</v>
      </c>
      <c r="R17" s="875">
        <v>964</v>
      </c>
      <c r="S17" s="875">
        <v>1082</v>
      </c>
      <c r="T17" s="875">
        <v>1227</v>
      </c>
      <c r="U17" s="875">
        <v>1405</v>
      </c>
      <c r="V17" s="875">
        <v>1631</v>
      </c>
      <c r="W17" s="875">
        <v>1923</v>
      </c>
      <c r="X17" s="875">
        <v>2312</v>
      </c>
      <c r="Y17" s="875">
        <v>2849</v>
      </c>
      <c r="Z17" s="875">
        <v>3625</v>
      </c>
      <c r="AA17" s="862">
        <v>4820</v>
      </c>
      <c r="AB17" s="876"/>
      <c r="AG17" s="835" t="s">
        <v>6</v>
      </c>
      <c r="AH17" s="856"/>
      <c r="AI17" s="856"/>
      <c r="AJ17" s="856"/>
      <c r="AK17" s="856"/>
      <c r="AL17" s="856"/>
      <c r="AM17" s="856"/>
      <c r="AN17" s="856"/>
      <c r="AO17" s="857">
        <v>2700</v>
      </c>
      <c r="AP17" s="857">
        <v>3300</v>
      </c>
      <c r="AQ17" s="857">
        <v>3950</v>
      </c>
      <c r="AR17" s="857">
        <v>4700</v>
      </c>
      <c r="AS17" s="857">
        <v>5500</v>
      </c>
      <c r="AT17" s="858">
        <v>6350</v>
      </c>
    </row>
    <row r="18" spans="3:46">
      <c r="C18" s="600">
        <v>5</v>
      </c>
      <c r="D18" s="852">
        <v>88.8</v>
      </c>
      <c r="E18" s="852">
        <v>104.8</v>
      </c>
      <c r="F18" s="852">
        <v>123.3</v>
      </c>
      <c r="G18" s="852">
        <v>143</v>
      </c>
      <c r="H18" s="852">
        <v>163.9</v>
      </c>
      <c r="I18" s="852">
        <v>185.9</v>
      </c>
      <c r="J18" s="852">
        <v>211.2</v>
      </c>
      <c r="K18" s="601">
        <v>5</v>
      </c>
      <c r="L18" s="853"/>
      <c r="M18" s="600">
        <v>120</v>
      </c>
      <c r="N18" s="861">
        <v>312</v>
      </c>
      <c r="O18" s="862">
        <v>660</v>
      </c>
      <c r="Q18" s="600" t="s">
        <v>8</v>
      </c>
      <c r="R18" s="875">
        <v>667</v>
      </c>
      <c r="S18" s="875">
        <v>749</v>
      </c>
      <c r="T18" s="875">
        <v>849</v>
      </c>
      <c r="U18" s="875">
        <v>972</v>
      </c>
      <c r="V18" s="875">
        <v>1129</v>
      </c>
      <c r="W18" s="875">
        <v>1330</v>
      </c>
      <c r="X18" s="875">
        <v>1599</v>
      </c>
      <c r="Y18" s="875">
        <v>1971</v>
      </c>
      <c r="Z18" s="875">
        <v>2507</v>
      </c>
      <c r="AA18" s="862">
        <v>3334</v>
      </c>
      <c r="AB18" s="876"/>
      <c r="AG18" s="835" t="s">
        <v>8</v>
      </c>
      <c r="AH18" s="856"/>
      <c r="AI18" s="856"/>
      <c r="AJ18" s="856"/>
      <c r="AK18" s="856"/>
      <c r="AL18" s="856"/>
      <c r="AM18" s="857">
        <v>2100</v>
      </c>
      <c r="AN18" s="857">
        <v>2800</v>
      </c>
      <c r="AO18" s="857">
        <v>3650</v>
      </c>
      <c r="AP18" s="857">
        <v>4600</v>
      </c>
      <c r="AQ18" s="857">
        <v>5700</v>
      </c>
      <c r="AR18" s="857">
        <v>7000</v>
      </c>
      <c r="AS18" s="856"/>
      <c r="AT18" s="859"/>
    </row>
    <row r="19" spans="3:46">
      <c r="C19" s="600">
        <v>6</v>
      </c>
      <c r="D19" s="852">
        <v>88</v>
      </c>
      <c r="E19" s="852">
        <v>103.8</v>
      </c>
      <c r="F19" s="852">
        <v>122</v>
      </c>
      <c r="G19" s="852">
        <v>141.19999999999999</v>
      </c>
      <c r="H19" s="852">
        <v>161.69999999999999</v>
      </c>
      <c r="I19" s="852">
        <v>183.9</v>
      </c>
      <c r="J19" s="852">
        <v>207.6</v>
      </c>
      <c r="K19" s="601">
        <v>6</v>
      </c>
      <c r="L19" s="853"/>
      <c r="M19" s="600">
        <v>130</v>
      </c>
      <c r="N19" s="861">
        <v>338</v>
      </c>
      <c r="O19" s="862">
        <v>715</v>
      </c>
      <c r="Q19" s="600" t="s">
        <v>9</v>
      </c>
      <c r="R19" s="875">
        <v>437</v>
      </c>
      <c r="S19" s="875">
        <v>491</v>
      </c>
      <c r="T19" s="875">
        <v>556</v>
      </c>
      <c r="U19" s="875">
        <v>637</v>
      </c>
      <c r="V19" s="875">
        <v>740</v>
      </c>
      <c r="W19" s="875">
        <v>872</v>
      </c>
      <c r="X19" s="875">
        <v>1049</v>
      </c>
      <c r="Y19" s="875">
        <v>1292</v>
      </c>
      <c r="Z19" s="875">
        <v>1644</v>
      </c>
      <c r="AA19" s="862">
        <v>2187</v>
      </c>
      <c r="AB19" s="876"/>
      <c r="AG19" s="835" t="s">
        <v>9</v>
      </c>
      <c r="AH19" s="856"/>
      <c r="AI19" s="856"/>
      <c r="AJ19" s="856"/>
      <c r="AK19" s="856"/>
      <c r="AL19" s="857">
        <v>1550</v>
      </c>
      <c r="AM19" s="857">
        <v>2100</v>
      </c>
      <c r="AN19" s="857">
        <v>2800</v>
      </c>
      <c r="AO19" s="857">
        <v>3650</v>
      </c>
      <c r="AP19" s="857">
        <v>4600</v>
      </c>
      <c r="AQ19" s="856"/>
      <c r="AR19" s="856"/>
      <c r="AS19" s="856"/>
      <c r="AT19" s="859"/>
    </row>
    <row r="20" spans="3:46" ht="12.75" thickBot="1">
      <c r="C20" s="877" t="s">
        <v>61</v>
      </c>
      <c r="D20" s="878">
        <v>80</v>
      </c>
      <c r="E20" s="878">
        <v>90</v>
      </c>
      <c r="F20" s="878">
        <v>100</v>
      </c>
      <c r="G20" s="878">
        <v>110</v>
      </c>
      <c r="H20" s="878">
        <v>120</v>
      </c>
      <c r="I20" s="878">
        <v>130</v>
      </c>
      <c r="J20" s="878">
        <v>140</v>
      </c>
      <c r="K20" s="879"/>
      <c r="L20" s="853"/>
      <c r="M20" s="877">
        <v>140</v>
      </c>
      <c r="N20" s="880">
        <v>364</v>
      </c>
      <c r="O20" s="881">
        <v>770</v>
      </c>
      <c r="Q20" s="600" t="s">
        <v>12</v>
      </c>
      <c r="R20" s="882"/>
      <c r="S20" s="882"/>
      <c r="T20" s="882"/>
      <c r="U20" s="882"/>
      <c r="V20" s="875">
        <v>240</v>
      </c>
      <c r="W20" s="875">
        <v>283</v>
      </c>
      <c r="X20" s="875">
        <v>340</v>
      </c>
      <c r="Y20" s="875">
        <v>419</v>
      </c>
      <c r="Z20" s="875">
        <v>533</v>
      </c>
      <c r="AA20" s="862">
        <v>708</v>
      </c>
      <c r="AB20" s="876"/>
      <c r="AG20" s="835" t="s">
        <v>12</v>
      </c>
      <c r="AH20" s="856"/>
      <c r="AI20" s="856"/>
      <c r="AJ20" s="856"/>
      <c r="AK20" s="857">
        <v>1100</v>
      </c>
      <c r="AL20" s="857">
        <v>1550</v>
      </c>
      <c r="AM20" s="857">
        <v>2100</v>
      </c>
      <c r="AN20" s="857">
        <v>2800</v>
      </c>
      <c r="AO20" s="856"/>
      <c r="AP20" s="856"/>
      <c r="AQ20" s="856"/>
      <c r="AR20" s="856"/>
      <c r="AS20" s="856"/>
      <c r="AT20" s="859"/>
    </row>
    <row r="21" spans="3:46" ht="12.75" thickBot="1">
      <c r="Q21" s="600" t="s">
        <v>13</v>
      </c>
      <c r="R21" s="882"/>
      <c r="S21" s="882"/>
      <c r="T21" s="882"/>
      <c r="U21" s="882"/>
      <c r="V21" s="882"/>
      <c r="W21" s="882"/>
      <c r="X21" s="882"/>
      <c r="Y21" s="875">
        <v>121</v>
      </c>
      <c r="Z21" s="875">
        <v>154</v>
      </c>
      <c r="AA21" s="862">
        <v>204</v>
      </c>
      <c r="AB21" s="876"/>
      <c r="AG21" s="835" t="s">
        <v>13</v>
      </c>
      <c r="AH21" s="856"/>
      <c r="AI21" s="856"/>
      <c r="AJ21" s="857">
        <v>700</v>
      </c>
      <c r="AK21" s="857">
        <v>1100</v>
      </c>
      <c r="AL21" s="857">
        <v>1550</v>
      </c>
      <c r="AM21" s="856"/>
      <c r="AN21" s="856"/>
      <c r="AO21" s="856"/>
      <c r="AP21" s="856"/>
      <c r="AQ21" s="856"/>
      <c r="AR21" s="856"/>
      <c r="AS21" s="856"/>
      <c r="AT21" s="859"/>
    </row>
    <row r="22" spans="3:46" ht="12.75" thickBot="1">
      <c r="C22" s="1331" t="s">
        <v>53</v>
      </c>
      <c r="D22" s="1332"/>
      <c r="E22" s="1332"/>
      <c r="F22" s="1332"/>
      <c r="G22" s="1332"/>
      <c r="H22" s="1332"/>
      <c r="I22" s="1332"/>
      <c r="J22" s="1332"/>
      <c r="K22" s="1332"/>
      <c r="L22" s="1332"/>
      <c r="M22" s="1332"/>
      <c r="N22" s="1332"/>
      <c r="O22" s="1333"/>
      <c r="Q22" s="863" t="s">
        <v>118</v>
      </c>
      <c r="R22" s="875">
        <v>437</v>
      </c>
      <c r="S22" s="875">
        <v>491</v>
      </c>
      <c r="T22" s="875">
        <v>556</v>
      </c>
      <c r="U22" s="875">
        <v>637</v>
      </c>
      <c r="V22" s="875">
        <v>740</v>
      </c>
      <c r="W22" s="875">
        <v>872</v>
      </c>
      <c r="X22" s="875">
        <v>1049</v>
      </c>
      <c r="Y22" s="875">
        <v>1292</v>
      </c>
      <c r="Z22" s="875">
        <v>1644</v>
      </c>
      <c r="AA22" s="862">
        <v>2187</v>
      </c>
      <c r="AB22" s="876"/>
      <c r="AG22" s="863" t="s">
        <v>118</v>
      </c>
      <c r="AH22" s="867"/>
      <c r="AI22" s="867"/>
      <c r="AJ22" s="865">
        <v>700</v>
      </c>
      <c r="AK22" s="865">
        <v>1100</v>
      </c>
      <c r="AL22" s="857">
        <v>1550</v>
      </c>
      <c r="AM22" s="857">
        <v>2100</v>
      </c>
      <c r="AN22" s="857">
        <v>2800</v>
      </c>
      <c r="AO22" s="857">
        <v>3650</v>
      </c>
      <c r="AP22" s="857">
        <v>4600</v>
      </c>
      <c r="AQ22" s="867"/>
      <c r="AR22" s="867"/>
      <c r="AS22" s="867"/>
      <c r="AT22" s="868"/>
    </row>
    <row r="23" spans="3:46" ht="12.75" thickBot="1">
      <c r="C23" s="846" t="s">
        <v>60</v>
      </c>
      <c r="D23" s="847">
        <v>25</v>
      </c>
      <c r="E23" s="847">
        <v>30</v>
      </c>
      <c r="F23" s="847">
        <v>40</v>
      </c>
      <c r="G23" s="847">
        <v>50</v>
      </c>
      <c r="H23" s="847">
        <v>60</v>
      </c>
      <c r="I23" s="847">
        <v>70</v>
      </c>
      <c r="J23" s="847">
        <v>80</v>
      </c>
      <c r="K23" s="847">
        <v>90</v>
      </c>
      <c r="L23" s="847">
        <v>100</v>
      </c>
      <c r="M23" s="847">
        <v>110</v>
      </c>
      <c r="N23" s="847">
        <v>120</v>
      </c>
      <c r="O23" s="848"/>
      <c r="Q23" s="836" t="s">
        <v>119</v>
      </c>
      <c r="R23" s="883"/>
      <c r="S23" s="883"/>
      <c r="T23" s="883"/>
      <c r="U23" s="883"/>
      <c r="V23" s="883"/>
      <c r="W23" s="883"/>
      <c r="X23" s="883"/>
      <c r="Y23" s="884">
        <v>121</v>
      </c>
      <c r="Z23" s="884">
        <v>154</v>
      </c>
      <c r="AA23" s="881">
        <v>204</v>
      </c>
      <c r="AB23" s="876"/>
      <c r="AG23" s="836" t="s">
        <v>119</v>
      </c>
      <c r="AH23" s="872">
        <v>350</v>
      </c>
      <c r="AI23" s="872">
        <v>400</v>
      </c>
      <c r="AJ23" s="872">
        <v>700</v>
      </c>
      <c r="AK23" s="872">
        <v>1100</v>
      </c>
      <c r="AL23" s="872">
        <v>1550</v>
      </c>
      <c r="AM23" s="873"/>
      <c r="AN23" s="873"/>
      <c r="AO23" s="873"/>
      <c r="AP23" s="873"/>
      <c r="AQ23" s="873"/>
      <c r="AR23" s="873"/>
      <c r="AS23" s="873"/>
      <c r="AT23" s="874"/>
    </row>
    <row r="24" spans="3:46" ht="12.75" thickBot="1">
      <c r="C24" s="600">
        <v>-12</v>
      </c>
      <c r="D24" s="852">
        <v>23.8</v>
      </c>
      <c r="E24" s="852">
        <v>30.2</v>
      </c>
      <c r="F24" s="852">
        <v>44.7</v>
      </c>
      <c r="G24" s="852">
        <v>61.7</v>
      </c>
      <c r="H24" s="852">
        <v>83.1</v>
      </c>
      <c r="I24" s="852">
        <v>110.1</v>
      </c>
      <c r="J24" s="852">
        <v>141.6</v>
      </c>
      <c r="K24" s="852">
        <v>180.5</v>
      </c>
      <c r="L24" s="852">
        <v>228.8</v>
      </c>
      <c r="M24" s="852">
        <v>285.5</v>
      </c>
      <c r="N24" s="852">
        <v>355</v>
      </c>
      <c r="O24" s="601">
        <v>-12</v>
      </c>
      <c r="AB24" s="876"/>
    </row>
    <row r="25" spans="3:46" ht="12.75" thickBot="1">
      <c r="C25" s="600">
        <v>-11</v>
      </c>
      <c r="D25" s="852">
        <v>23.7</v>
      </c>
      <c r="E25" s="852">
        <v>29.9</v>
      </c>
      <c r="F25" s="852">
        <v>44.2</v>
      </c>
      <c r="G25" s="852">
        <v>60.9</v>
      </c>
      <c r="H25" s="852">
        <v>81.599999999999994</v>
      </c>
      <c r="I25" s="852">
        <v>107.5</v>
      </c>
      <c r="J25" s="852">
        <v>138</v>
      </c>
      <c r="K25" s="852">
        <v>175.3</v>
      </c>
      <c r="L25" s="852">
        <v>221</v>
      </c>
      <c r="M25" s="852">
        <v>275.3</v>
      </c>
      <c r="N25" s="852">
        <v>339.1</v>
      </c>
      <c r="O25" s="601">
        <v>-11</v>
      </c>
      <c r="Q25" s="1331" t="s">
        <v>251</v>
      </c>
      <c r="R25" s="1332"/>
      <c r="S25" s="1332"/>
      <c r="T25" s="1332"/>
      <c r="U25" s="1332"/>
      <c r="V25" s="1332"/>
      <c r="W25" s="1332"/>
      <c r="X25" s="1333"/>
      <c r="AE25" s="845"/>
      <c r="AG25" s="1331" t="s">
        <v>235</v>
      </c>
      <c r="AH25" s="1332"/>
      <c r="AI25" s="1332"/>
      <c r="AJ25" s="1332"/>
      <c r="AK25" s="1332"/>
      <c r="AL25" s="1332"/>
      <c r="AM25" s="1332"/>
      <c r="AN25" s="1332"/>
      <c r="AO25" s="1332"/>
      <c r="AP25" s="1332"/>
      <c r="AQ25" s="1333"/>
      <c r="AR25" s="845"/>
    </row>
    <row r="26" spans="3:46" ht="13.5" customHeight="1" thickBot="1">
      <c r="C26" s="600">
        <v>-10</v>
      </c>
      <c r="D26" s="852">
        <v>23.6</v>
      </c>
      <c r="E26" s="852">
        <v>29.6</v>
      </c>
      <c r="F26" s="852">
        <v>43.7</v>
      </c>
      <c r="G26" s="852">
        <v>60.1</v>
      </c>
      <c r="H26" s="852">
        <v>80.2</v>
      </c>
      <c r="I26" s="852">
        <v>105.1</v>
      </c>
      <c r="J26" s="852">
        <v>134.6</v>
      </c>
      <c r="K26" s="852">
        <v>170.4</v>
      </c>
      <c r="L26" s="852">
        <v>213.5</v>
      </c>
      <c r="M26" s="852">
        <v>265.10000000000002</v>
      </c>
      <c r="N26" s="852">
        <v>324.60000000000002</v>
      </c>
      <c r="O26" s="601">
        <v>-10</v>
      </c>
      <c r="Q26" s="938" t="s">
        <v>180</v>
      </c>
      <c r="R26" s="939" t="s">
        <v>338</v>
      </c>
      <c r="S26" s="939">
        <v>40</v>
      </c>
      <c r="T26" s="939">
        <v>60</v>
      </c>
      <c r="U26" s="939">
        <v>80</v>
      </c>
      <c r="V26" s="939">
        <v>100</v>
      </c>
      <c r="W26" s="939">
        <v>120</v>
      </c>
      <c r="X26" s="940">
        <v>140</v>
      </c>
      <c r="AG26" s="1346" t="s">
        <v>4</v>
      </c>
      <c r="AH26" s="1347"/>
      <c r="AI26" s="1347"/>
      <c r="AJ26" s="1347"/>
      <c r="AK26" s="1347"/>
      <c r="AL26" s="1348"/>
      <c r="AM26" s="1346" t="s">
        <v>5</v>
      </c>
      <c r="AN26" s="1347"/>
      <c r="AO26" s="1347"/>
      <c r="AP26" s="1347"/>
      <c r="AQ26" s="1348"/>
    </row>
    <row r="27" spans="3:46">
      <c r="C27" s="600">
        <v>-9</v>
      </c>
      <c r="D27" s="852">
        <v>23.4</v>
      </c>
      <c r="E27" s="852">
        <v>29.4</v>
      </c>
      <c r="F27" s="852">
        <v>43.2</v>
      </c>
      <c r="G27" s="852">
        <v>59.2</v>
      </c>
      <c r="H27" s="852">
        <v>78.8</v>
      </c>
      <c r="I27" s="852">
        <v>102.9</v>
      </c>
      <c r="J27" s="852">
        <v>131.4</v>
      </c>
      <c r="K27" s="852">
        <v>165.7</v>
      </c>
      <c r="L27" s="852">
        <v>206.7</v>
      </c>
      <c r="M27" s="852">
        <v>255.5</v>
      </c>
      <c r="N27" s="852">
        <v>311.39999999999998</v>
      </c>
      <c r="O27" s="601">
        <v>-9</v>
      </c>
      <c r="Q27" s="600">
        <v>25</v>
      </c>
      <c r="R27" s="885">
        <v>30</v>
      </c>
      <c r="S27" s="886">
        <v>1</v>
      </c>
      <c r="T27" s="886">
        <v>19</v>
      </c>
      <c r="U27" s="886">
        <v>43</v>
      </c>
      <c r="V27" s="886">
        <v>74</v>
      </c>
      <c r="W27" s="886">
        <v>112</v>
      </c>
      <c r="X27" s="887">
        <v>157</v>
      </c>
      <c r="AG27" s="846" t="s">
        <v>918</v>
      </c>
      <c r="AH27" s="847">
        <v>2</v>
      </c>
      <c r="AI27" s="847">
        <v>3</v>
      </c>
      <c r="AJ27" s="847">
        <v>4</v>
      </c>
      <c r="AK27" s="847">
        <v>5</v>
      </c>
      <c r="AL27" s="888" t="s">
        <v>234</v>
      </c>
      <c r="AM27" s="846">
        <v>2</v>
      </c>
      <c r="AN27" s="847">
        <v>3</v>
      </c>
      <c r="AO27" s="847">
        <v>4</v>
      </c>
      <c r="AP27" s="889" t="s">
        <v>233</v>
      </c>
      <c r="AQ27" s="890" t="s">
        <v>918</v>
      </c>
    </row>
    <row r="28" spans="3:46">
      <c r="C28" s="600">
        <v>-8</v>
      </c>
      <c r="D28" s="852">
        <v>23.3</v>
      </c>
      <c r="E28" s="852">
        <v>29.1</v>
      </c>
      <c r="F28" s="852">
        <v>42.8</v>
      </c>
      <c r="G28" s="852">
        <v>58.4</v>
      </c>
      <c r="H28" s="852">
        <v>77.5</v>
      </c>
      <c r="I28" s="852">
        <v>100.7</v>
      </c>
      <c r="J28" s="852">
        <v>128.4</v>
      </c>
      <c r="K28" s="852">
        <v>161.30000000000001</v>
      </c>
      <c r="L28" s="852">
        <v>200.4</v>
      </c>
      <c r="M28" s="852">
        <v>246.6</v>
      </c>
      <c r="N28" s="852">
        <v>299.39999999999998</v>
      </c>
      <c r="O28" s="601">
        <v>-8</v>
      </c>
      <c r="Q28" s="600">
        <v>45</v>
      </c>
      <c r="R28" s="885">
        <v>40</v>
      </c>
      <c r="S28" s="886"/>
      <c r="T28" s="886">
        <v>9</v>
      </c>
      <c r="U28" s="886">
        <v>33</v>
      </c>
      <c r="V28" s="886">
        <v>64</v>
      </c>
      <c r="W28" s="886">
        <v>102</v>
      </c>
      <c r="X28" s="887">
        <v>147</v>
      </c>
      <c r="AG28" s="600">
        <v>50</v>
      </c>
      <c r="AH28" s="891"/>
      <c r="AI28" s="891"/>
      <c r="AJ28" s="892">
        <v>200</v>
      </c>
      <c r="AK28" s="892">
        <v>600</v>
      </c>
      <c r="AL28" s="893">
        <v>700</v>
      </c>
      <c r="AM28" s="894"/>
      <c r="AN28" s="892">
        <v>300</v>
      </c>
      <c r="AO28" s="892">
        <v>800</v>
      </c>
      <c r="AP28" s="892">
        <v>1000</v>
      </c>
      <c r="AQ28" s="895">
        <v>50</v>
      </c>
    </row>
    <row r="29" spans="3:46">
      <c r="C29" s="600">
        <v>-7</v>
      </c>
      <c r="D29" s="852">
        <v>23.1</v>
      </c>
      <c r="E29" s="852">
        <v>28.9</v>
      </c>
      <c r="F29" s="852">
        <v>42.3</v>
      </c>
      <c r="G29" s="852">
        <v>57.6</v>
      </c>
      <c r="H29" s="852">
        <v>76.3</v>
      </c>
      <c r="I29" s="852">
        <v>98.8</v>
      </c>
      <c r="J29" s="852">
        <v>125.6</v>
      </c>
      <c r="K29" s="852">
        <v>157.19999999999999</v>
      </c>
      <c r="L29" s="852">
        <v>194.6</v>
      </c>
      <c r="M29" s="852">
        <v>238.3</v>
      </c>
      <c r="N29" s="852">
        <v>288.5</v>
      </c>
      <c r="O29" s="601">
        <v>-7</v>
      </c>
      <c r="Q29" s="600">
        <v>75</v>
      </c>
      <c r="R29" s="885">
        <v>50</v>
      </c>
      <c r="S29" s="886"/>
      <c r="T29" s="886"/>
      <c r="U29" s="886">
        <v>18</v>
      </c>
      <c r="V29" s="886">
        <v>49</v>
      </c>
      <c r="W29" s="886">
        <v>87</v>
      </c>
      <c r="X29" s="887">
        <v>132</v>
      </c>
      <c r="AG29" s="600">
        <v>60</v>
      </c>
      <c r="AH29" s="891"/>
      <c r="AI29" s="891"/>
      <c r="AJ29" s="892">
        <v>700</v>
      </c>
      <c r="AK29" s="892">
        <v>1000</v>
      </c>
      <c r="AL29" s="893">
        <v>1000</v>
      </c>
      <c r="AM29" s="894"/>
      <c r="AN29" s="892">
        <v>600</v>
      </c>
      <c r="AO29" s="892">
        <v>1100</v>
      </c>
      <c r="AP29" s="892">
        <v>1200</v>
      </c>
      <c r="AQ29" s="895">
        <v>60</v>
      </c>
    </row>
    <row r="30" spans="3:46">
      <c r="C30" s="600">
        <v>-6</v>
      </c>
      <c r="D30" s="852">
        <v>23</v>
      </c>
      <c r="E30" s="852">
        <v>28.7</v>
      </c>
      <c r="F30" s="852">
        <v>41.9</v>
      </c>
      <c r="G30" s="852">
        <v>56.9</v>
      </c>
      <c r="H30" s="852">
        <v>75.099999999999994</v>
      </c>
      <c r="I30" s="852">
        <v>97</v>
      </c>
      <c r="J30" s="852">
        <v>123</v>
      </c>
      <c r="K30" s="852">
        <v>153.30000000000001</v>
      </c>
      <c r="L30" s="852">
        <v>189.2</v>
      </c>
      <c r="M30" s="852">
        <v>230.5</v>
      </c>
      <c r="N30" s="852">
        <v>278.60000000000002</v>
      </c>
      <c r="O30" s="601">
        <v>-6</v>
      </c>
      <c r="Q30" s="600">
        <v>120</v>
      </c>
      <c r="R30" s="885">
        <v>60</v>
      </c>
      <c r="S30" s="886"/>
      <c r="T30" s="886"/>
      <c r="U30" s="886"/>
      <c r="V30" s="886">
        <v>27</v>
      </c>
      <c r="W30" s="886">
        <v>65</v>
      </c>
      <c r="X30" s="887">
        <v>110</v>
      </c>
      <c r="AG30" s="600">
        <v>70</v>
      </c>
      <c r="AH30" s="891"/>
      <c r="AI30" s="892">
        <v>600</v>
      </c>
      <c r="AJ30" s="892">
        <v>1200</v>
      </c>
      <c r="AK30" s="892">
        <v>1400</v>
      </c>
      <c r="AL30" s="893">
        <v>1400</v>
      </c>
      <c r="AM30" s="894"/>
      <c r="AN30" s="892">
        <v>900</v>
      </c>
      <c r="AO30" s="892">
        <v>1400</v>
      </c>
      <c r="AP30" s="892">
        <v>1500</v>
      </c>
      <c r="AQ30" s="895">
        <v>70</v>
      </c>
    </row>
    <row r="31" spans="3:46">
      <c r="C31" s="600">
        <v>-5</v>
      </c>
      <c r="D31" s="852">
        <v>22.8</v>
      </c>
      <c r="E31" s="852">
        <v>28.5</v>
      </c>
      <c r="F31" s="852">
        <v>41.5</v>
      </c>
      <c r="G31" s="852">
        <v>56.1</v>
      </c>
      <c r="H31" s="852">
        <v>74</v>
      </c>
      <c r="I31" s="852">
        <v>95.3</v>
      </c>
      <c r="J31" s="852">
        <v>120.5</v>
      </c>
      <c r="K31" s="852">
        <v>149.69999999999999</v>
      </c>
      <c r="L31" s="852">
        <v>184.2</v>
      </c>
      <c r="M31" s="852">
        <v>223.3</v>
      </c>
      <c r="N31" s="852">
        <v>269.60000000000002</v>
      </c>
      <c r="O31" s="601">
        <v>-5</v>
      </c>
      <c r="Q31" s="600">
        <v>180</v>
      </c>
      <c r="R31" s="885">
        <v>70</v>
      </c>
      <c r="S31" s="886"/>
      <c r="T31" s="886"/>
      <c r="U31" s="886"/>
      <c r="V31" s="886"/>
      <c r="W31" s="886">
        <v>35</v>
      </c>
      <c r="X31" s="887">
        <v>80</v>
      </c>
      <c r="AG31" s="600">
        <v>80</v>
      </c>
      <c r="AH31" s="891"/>
      <c r="AI31" s="892">
        <v>1200</v>
      </c>
      <c r="AJ31" s="892">
        <v>1700</v>
      </c>
      <c r="AK31" s="892">
        <v>1800</v>
      </c>
      <c r="AL31" s="893">
        <v>1800</v>
      </c>
      <c r="AM31" s="894"/>
      <c r="AN31" s="892">
        <v>1200</v>
      </c>
      <c r="AO31" s="892">
        <v>1700</v>
      </c>
      <c r="AP31" s="892">
        <v>1700</v>
      </c>
      <c r="AQ31" s="895">
        <v>80</v>
      </c>
    </row>
    <row r="32" spans="3:46" ht="12.75" thickBot="1">
      <c r="C32" s="600">
        <v>-4</v>
      </c>
      <c r="D32" s="852">
        <v>22.6</v>
      </c>
      <c r="E32" s="852">
        <v>28.3</v>
      </c>
      <c r="F32" s="852">
        <v>41.2</v>
      </c>
      <c r="G32" s="852">
        <v>55.4</v>
      </c>
      <c r="H32" s="852">
        <v>72.900000000000006</v>
      </c>
      <c r="I32" s="852">
        <v>93.7</v>
      </c>
      <c r="J32" s="852">
        <v>118.2</v>
      </c>
      <c r="K32" s="852">
        <v>146.30000000000001</v>
      </c>
      <c r="L32" s="852">
        <v>179.6</v>
      </c>
      <c r="M32" s="852">
        <v>216.7</v>
      </c>
      <c r="N32" s="852">
        <v>261.39999999999998</v>
      </c>
      <c r="O32" s="601">
        <v>-4</v>
      </c>
      <c r="Q32" s="877">
        <v>250</v>
      </c>
      <c r="R32" s="878">
        <v>80</v>
      </c>
      <c r="S32" s="896"/>
      <c r="T32" s="896"/>
      <c r="U32" s="896"/>
      <c r="V32" s="896"/>
      <c r="W32" s="896"/>
      <c r="X32" s="897">
        <v>45</v>
      </c>
      <c r="AG32" s="600">
        <v>90</v>
      </c>
      <c r="AH32" s="891"/>
      <c r="AI32" s="892">
        <v>1900</v>
      </c>
      <c r="AJ32" s="892">
        <v>2200</v>
      </c>
      <c r="AK32" s="892">
        <v>2200</v>
      </c>
      <c r="AL32" s="893">
        <v>2200</v>
      </c>
      <c r="AM32" s="894"/>
      <c r="AN32" s="892">
        <v>1400</v>
      </c>
      <c r="AO32" s="892">
        <v>2000</v>
      </c>
      <c r="AP32" s="892">
        <v>2000</v>
      </c>
      <c r="AQ32" s="895">
        <v>90</v>
      </c>
    </row>
    <row r="33" spans="3:43" ht="12.75" thickBot="1">
      <c r="C33" s="600">
        <v>-3</v>
      </c>
      <c r="D33" s="852">
        <v>22.5</v>
      </c>
      <c r="E33" s="852">
        <v>28.1</v>
      </c>
      <c r="F33" s="852">
        <v>40.799999999999997</v>
      </c>
      <c r="G33" s="852">
        <v>54.7</v>
      </c>
      <c r="H33" s="852">
        <v>71.900000000000006</v>
      </c>
      <c r="I33" s="852">
        <v>92.2</v>
      </c>
      <c r="J33" s="852">
        <v>116</v>
      </c>
      <c r="K33" s="852">
        <v>143.19999999999999</v>
      </c>
      <c r="L33" s="852">
        <v>175.3</v>
      </c>
      <c r="M33" s="852">
        <v>210.7</v>
      </c>
      <c r="N33" s="852">
        <v>253.7</v>
      </c>
      <c r="O33" s="601">
        <v>-3</v>
      </c>
      <c r="AG33" s="600">
        <v>100</v>
      </c>
      <c r="AH33" s="892">
        <v>700</v>
      </c>
      <c r="AI33" s="892">
        <v>2600</v>
      </c>
      <c r="AJ33" s="892">
        <v>2700</v>
      </c>
      <c r="AK33" s="892">
        <v>2700</v>
      </c>
      <c r="AL33" s="893">
        <v>2700</v>
      </c>
      <c r="AM33" s="894"/>
      <c r="AN33" s="892">
        <v>1700</v>
      </c>
      <c r="AO33" s="892">
        <v>2200</v>
      </c>
      <c r="AP33" s="892">
        <v>2300</v>
      </c>
      <c r="AQ33" s="895">
        <v>100</v>
      </c>
    </row>
    <row r="34" spans="3:43" ht="12.75" thickBot="1">
      <c r="C34" s="600">
        <v>-2</v>
      </c>
      <c r="D34" s="852">
        <v>22.3</v>
      </c>
      <c r="E34" s="852">
        <v>27.9</v>
      </c>
      <c r="F34" s="852">
        <v>40.5</v>
      </c>
      <c r="G34" s="852">
        <v>54.1</v>
      </c>
      <c r="H34" s="852">
        <v>71</v>
      </c>
      <c r="I34" s="852">
        <v>90.8</v>
      </c>
      <c r="J34" s="852">
        <v>113.9</v>
      </c>
      <c r="K34" s="852">
        <v>140.30000000000001</v>
      </c>
      <c r="L34" s="852">
        <v>171.2</v>
      </c>
      <c r="M34" s="852">
        <v>205.1</v>
      </c>
      <c r="N34" s="852">
        <v>246.6</v>
      </c>
      <c r="O34" s="601">
        <v>-2</v>
      </c>
      <c r="Q34" s="1331" t="s">
        <v>252</v>
      </c>
      <c r="R34" s="1332"/>
      <c r="S34" s="1332"/>
      <c r="T34" s="1332"/>
      <c r="U34" s="1332"/>
      <c r="V34" s="1332"/>
      <c r="W34" s="1332"/>
      <c r="X34" s="1333"/>
      <c r="AG34" s="600">
        <v>110</v>
      </c>
      <c r="AH34" s="892">
        <v>1700</v>
      </c>
      <c r="AI34" s="892">
        <v>3200</v>
      </c>
      <c r="AJ34" s="892">
        <v>3300</v>
      </c>
      <c r="AK34" s="892">
        <v>3300</v>
      </c>
      <c r="AL34" s="893">
        <v>3300</v>
      </c>
      <c r="AM34" s="894"/>
      <c r="AN34" s="892">
        <v>2000</v>
      </c>
      <c r="AO34" s="892">
        <v>2500</v>
      </c>
      <c r="AP34" s="892">
        <v>2600</v>
      </c>
      <c r="AQ34" s="895">
        <v>110</v>
      </c>
    </row>
    <row r="35" spans="3:43">
      <c r="C35" s="600">
        <v>-1</v>
      </c>
      <c r="D35" s="852">
        <v>22.2</v>
      </c>
      <c r="E35" s="852">
        <v>27.7</v>
      </c>
      <c r="F35" s="852">
        <v>40.200000000000003</v>
      </c>
      <c r="G35" s="852">
        <v>53.5</v>
      </c>
      <c r="H35" s="852">
        <v>70.099999999999994</v>
      </c>
      <c r="I35" s="852">
        <v>89.5</v>
      </c>
      <c r="J35" s="852">
        <v>111.5</v>
      </c>
      <c r="K35" s="852">
        <v>137.6</v>
      </c>
      <c r="L35" s="852">
        <v>167.4</v>
      </c>
      <c r="M35" s="852">
        <v>200</v>
      </c>
      <c r="N35" s="852">
        <v>239.9</v>
      </c>
      <c r="O35" s="601">
        <v>-1</v>
      </c>
      <c r="Q35" s="938" t="s">
        <v>180</v>
      </c>
      <c r="R35" s="939" t="s">
        <v>338</v>
      </c>
      <c r="S35" s="939">
        <v>40</v>
      </c>
      <c r="T35" s="939">
        <v>60</v>
      </c>
      <c r="U35" s="939">
        <v>80</v>
      </c>
      <c r="V35" s="939">
        <v>100</v>
      </c>
      <c r="W35" s="939">
        <v>120</v>
      </c>
      <c r="X35" s="940">
        <v>140</v>
      </c>
      <c r="AG35" s="600">
        <v>120</v>
      </c>
      <c r="AH35" s="892">
        <v>2700</v>
      </c>
      <c r="AI35" s="892">
        <v>3900</v>
      </c>
      <c r="AJ35" s="892">
        <v>3900</v>
      </c>
      <c r="AK35" s="892">
        <v>3900</v>
      </c>
      <c r="AL35" s="893">
        <v>3900</v>
      </c>
      <c r="AM35" s="894"/>
      <c r="AN35" s="892">
        <v>2300</v>
      </c>
      <c r="AO35" s="892">
        <v>2800</v>
      </c>
      <c r="AP35" s="892">
        <v>2800</v>
      </c>
      <c r="AQ35" s="895">
        <v>120</v>
      </c>
    </row>
    <row r="36" spans="3:43">
      <c r="C36" s="600">
        <v>0</v>
      </c>
      <c r="D36" s="852">
        <v>22</v>
      </c>
      <c r="E36" s="852">
        <v>27.6</v>
      </c>
      <c r="F36" s="852">
        <v>40</v>
      </c>
      <c r="G36" s="852">
        <v>53</v>
      </c>
      <c r="H36" s="852">
        <v>69.3</v>
      </c>
      <c r="I36" s="852">
        <v>88.3</v>
      </c>
      <c r="J36" s="852">
        <v>110</v>
      </c>
      <c r="K36" s="852">
        <v>135</v>
      </c>
      <c r="L36" s="852">
        <v>163.9</v>
      </c>
      <c r="M36" s="852">
        <v>195.3</v>
      </c>
      <c r="N36" s="852">
        <v>233.6</v>
      </c>
      <c r="O36" s="601">
        <v>0</v>
      </c>
      <c r="Q36" s="600">
        <v>25</v>
      </c>
      <c r="R36" s="885">
        <v>30</v>
      </c>
      <c r="S36" s="886">
        <v>3</v>
      </c>
      <c r="T36" s="886">
        <v>47</v>
      </c>
      <c r="U36" s="886">
        <v>107</v>
      </c>
      <c r="V36" s="886">
        <v>185</v>
      </c>
      <c r="W36" s="886">
        <v>280</v>
      </c>
      <c r="X36" s="887">
        <v>393</v>
      </c>
      <c r="AG36" s="600">
        <v>130</v>
      </c>
      <c r="AH36" s="892">
        <v>3700</v>
      </c>
      <c r="AI36" s="892">
        <v>4600</v>
      </c>
      <c r="AJ36" s="892">
        <v>4600</v>
      </c>
      <c r="AK36" s="892">
        <v>4600</v>
      </c>
      <c r="AL36" s="893">
        <v>4600</v>
      </c>
      <c r="AM36" s="894"/>
      <c r="AN36" s="892">
        <v>2600</v>
      </c>
      <c r="AO36" s="892">
        <v>3100</v>
      </c>
      <c r="AP36" s="892">
        <v>3100</v>
      </c>
      <c r="AQ36" s="895">
        <v>130</v>
      </c>
    </row>
    <row r="37" spans="3:43">
      <c r="C37" s="600">
        <v>1</v>
      </c>
      <c r="D37" s="852">
        <v>21.9</v>
      </c>
      <c r="E37" s="852">
        <v>27.4</v>
      </c>
      <c r="F37" s="852">
        <v>39.6</v>
      </c>
      <c r="G37" s="852">
        <v>52.5</v>
      </c>
      <c r="H37" s="852">
        <v>68.599999999999994</v>
      </c>
      <c r="I37" s="852">
        <v>87.2</v>
      </c>
      <c r="J37" s="852">
        <v>108.1</v>
      </c>
      <c r="K37" s="852">
        <v>132.6</v>
      </c>
      <c r="L37" s="852">
        <v>160.6</v>
      </c>
      <c r="M37" s="852">
        <v>190.9</v>
      </c>
      <c r="N37" s="852">
        <v>227.6</v>
      </c>
      <c r="O37" s="601">
        <v>1</v>
      </c>
      <c r="Q37" s="600">
        <v>45</v>
      </c>
      <c r="R37" s="885">
        <v>40</v>
      </c>
      <c r="S37" s="886"/>
      <c r="T37" s="886">
        <v>22</v>
      </c>
      <c r="U37" s="886">
        <v>82</v>
      </c>
      <c r="V37" s="886">
        <v>160</v>
      </c>
      <c r="W37" s="886">
        <v>255</v>
      </c>
      <c r="X37" s="887">
        <v>368</v>
      </c>
      <c r="AG37" s="600">
        <v>140</v>
      </c>
      <c r="AH37" s="892">
        <v>4700</v>
      </c>
      <c r="AI37" s="892">
        <v>5300</v>
      </c>
      <c r="AJ37" s="892">
        <v>5300</v>
      </c>
      <c r="AK37" s="892">
        <v>5300</v>
      </c>
      <c r="AL37" s="893">
        <v>5300</v>
      </c>
      <c r="AM37" s="894"/>
      <c r="AN37" s="892">
        <v>2800</v>
      </c>
      <c r="AO37" s="892">
        <v>3400</v>
      </c>
      <c r="AP37" s="892">
        <v>3400</v>
      </c>
      <c r="AQ37" s="895">
        <v>140</v>
      </c>
    </row>
    <row r="38" spans="3:43">
      <c r="C38" s="600">
        <v>2</v>
      </c>
      <c r="D38" s="852">
        <v>21.7</v>
      </c>
      <c r="E38" s="852">
        <v>27.3</v>
      </c>
      <c r="F38" s="852">
        <v>39.299999999999997</v>
      </c>
      <c r="G38" s="852">
        <v>52</v>
      </c>
      <c r="H38" s="852">
        <v>67.900000000000006</v>
      </c>
      <c r="I38" s="852">
        <v>86</v>
      </c>
      <c r="J38" s="852">
        <v>106.4</v>
      </c>
      <c r="K38" s="852">
        <v>130.30000000000001</v>
      </c>
      <c r="L38" s="852">
        <v>157.4</v>
      </c>
      <c r="M38" s="852">
        <v>186.9</v>
      </c>
      <c r="N38" s="852">
        <v>222</v>
      </c>
      <c r="O38" s="601">
        <v>2</v>
      </c>
      <c r="Q38" s="600">
        <v>75</v>
      </c>
      <c r="R38" s="885">
        <v>50</v>
      </c>
      <c r="S38" s="886"/>
      <c r="T38" s="886"/>
      <c r="U38" s="886">
        <v>45</v>
      </c>
      <c r="V38" s="886">
        <v>123</v>
      </c>
      <c r="W38" s="886">
        <v>218</v>
      </c>
      <c r="X38" s="887">
        <v>331</v>
      </c>
      <c r="AG38" s="600">
        <v>150</v>
      </c>
      <c r="AH38" s="892">
        <v>5700</v>
      </c>
      <c r="AI38" s="892">
        <v>6100</v>
      </c>
      <c r="AJ38" s="892">
        <v>6100</v>
      </c>
      <c r="AK38" s="892">
        <v>6100</v>
      </c>
      <c r="AL38" s="893">
        <v>6100</v>
      </c>
      <c r="AM38" s="894"/>
      <c r="AN38" s="892">
        <v>3100</v>
      </c>
      <c r="AO38" s="892">
        <v>3700</v>
      </c>
      <c r="AP38" s="892">
        <v>3700</v>
      </c>
      <c r="AQ38" s="895">
        <v>150</v>
      </c>
    </row>
    <row r="39" spans="3:43">
      <c r="C39" s="600">
        <v>3</v>
      </c>
      <c r="D39" s="852">
        <v>21.6</v>
      </c>
      <c r="E39" s="852">
        <v>27.1</v>
      </c>
      <c r="F39" s="852">
        <v>39</v>
      </c>
      <c r="G39" s="852">
        <v>51.6</v>
      </c>
      <c r="H39" s="852">
        <v>67.2</v>
      </c>
      <c r="I39" s="852">
        <v>84.9</v>
      </c>
      <c r="J39" s="852">
        <v>104.8</v>
      </c>
      <c r="K39" s="852">
        <v>128.19999999999999</v>
      </c>
      <c r="L39" s="852">
        <v>154.4</v>
      </c>
      <c r="M39" s="852">
        <v>183.1</v>
      </c>
      <c r="N39" s="852">
        <v>216.7</v>
      </c>
      <c r="O39" s="601">
        <v>3</v>
      </c>
      <c r="Q39" s="600">
        <v>120</v>
      </c>
      <c r="R39" s="885">
        <v>60</v>
      </c>
      <c r="S39" s="886"/>
      <c r="T39" s="886"/>
      <c r="U39" s="886"/>
      <c r="V39" s="886">
        <v>67</v>
      </c>
      <c r="W39" s="886">
        <v>162</v>
      </c>
      <c r="X39" s="887">
        <v>275</v>
      </c>
      <c r="AG39" s="600">
        <v>160</v>
      </c>
      <c r="AH39" s="892">
        <v>6700</v>
      </c>
      <c r="AI39" s="892">
        <v>6900</v>
      </c>
      <c r="AJ39" s="892">
        <v>6900</v>
      </c>
      <c r="AK39" s="892">
        <v>6900</v>
      </c>
      <c r="AL39" s="893">
        <v>6900</v>
      </c>
      <c r="AM39" s="894"/>
      <c r="AN39" s="892">
        <v>3400</v>
      </c>
      <c r="AO39" s="892">
        <v>3900</v>
      </c>
      <c r="AP39" s="892">
        <v>3900</v>
      </c>
      <c r="AQ39" s="895">
        <v>160</v>
      </c>
    </row>
    <row r="40" spans="3:43">
      <c r="C40" s="600">
        <v>4</v>
      </c>
      <c r="D40" s="852">
        <v>21.5</v>
      </c>
      <c r="E40" s="852">
        <v>27</v>
      </c>
      <c r="F40" s="852">
        <v>38.799999999999997</v>
      </c>
      <c r="G40" s="852">
        <v>51.3</v>
      </c>
      <c r="H40" s="852">
        <v>66.5</v>
      </c>
      <c r="I40" s="852">
        <v>83.9</v>
      </c>
      <c r="J40" s="852">
        <v>103.3</v>
      </c>
      <c r="K40" s="852">
        <v>126.1</v>
      </c>
      <c r="L40" s="852">
        <v>151.5</v>
      </c>
      <c r="M40" s="852">
        <v>179.5</v>
      </c>
      <c r="N40" s="852">
        <v>211.7</v>
      </c>
      <c r="O40" s="601">
        <v>4</v>
      </c>
      <c r="Q40" s="600">
        <v>180</v>
      </c>
      <c r="R40" s="885">
        <v>70</v>
      </c>
      <c r="S40" s="886"/>
      <c r="T40" s="886"/>
      <c r="U40" s="886"/>
      <c r="V40" s="886"/>
      <c r="W40" s="886">
        <v>87</v>
      </c>
      <c r="X40" s="887">
        <v>200</v>
      </c>
      <c r="AG40" s="600">
        <v>170</v>
      </c>
      <c r="AH40" s="892">
        <v>7700</v>
      </c>
      <c r="AI40" s="892">
        <v>7800</v>
      </c>
      <c r="AJ40" s="892">
        <v>7800</v>
      </c>
      <c r="AK40" s="892">
        <v>7800</v>
      </c>
      <c r="AL40" s="893">
        <v>7800</v>
      </c>
      <c r="AM40" s="894"/>
      <c r="AN40" s="892">
        <v>3700</v>
      </c>
      <c r="AO40" s="892">
        <v>4200</v>
      </c>
      <c r="AP40" s="892">
        <v>4200</v>
      </c>
      <c r="AQ40" s="895">
        <v>170</v>
      </c>
    </row>
    <row r="41" spans="3:43" ht="12.75" thickBot="1">
      <c r="C41" s="600">
        <v>5</v>
      </c>
      <c r="D41" s="852">
        <v>21.5</v>
      </c>
      <c r="E41" s="852">
        <v>26.8</v>
      </c>
      <c r="F41" s="852">
        <v>38.5</v>
      </c>
      <c r="G41" s="852">
        <v>50.9</v>
      </c>
      <c r="H41" s="852">
        <v>65.900000000000006</v>
      </c>
      <c r="I41" s="852">
        <v>82.8</v>
      </c>
      <c r="J41" s="852">
        <v>101.3</v>
      </c>
      <c r="K41" s="852">
        <v>124.1</v>
      </c>
      <c r="L41" s="852">
        <v>148.80000000000001</v>
      </c>
      <c r="M41" s="852">
        <v>176.1</v>
      </c>
      <c r="N41" s="852">
        <v>207.1</v>
      </c>
      <c r="O41" s="601">
        <v>5</v>
      </c>
      <c r="Q41" s="877">
        <v>250</v>
      </c>
      <c r="R41" s="878">
        <v>80</v>
      </c>
      <c r="S41" s="896"/>
      <c r="T41" s="896"/>
      <c r="U41" s="896"/>
      <c r="V41" s="896"/>
      <c r="W41" s="896"/>
      <c r="X41" s="897">
        <v>113</v>
      </c>
      <c r="AG41" s="600">
        <v>180</v>
      </c>
      <c r="AH41" s="892">
        <v>8700</v>
      </c>
      <c r="AI41" s="892">
        <v>8700</v>
      </c>
      <c r="AJ41" s="892">
        <v>8700</v>
      </c>
      <c r="AK41" s="892">
        <v>8700</v>
      </c>
      <c r="AL41" s="893">
        <v>8700</v>
      </c>
      <c r="AM41" s="894"/>
      <c r="AN41" s="892">
        <v>4000</v>
      </c>
      <c r="AO41" s="892">
        <v>4500</v>
      </c>
      <c r="AP41" s="892">
        <v>4500</v>
      </c>
      <c r="AQ41" s="895">
        <v>180</v>
      </c>
    </row>
    <row r="42" spans="3:43" ht="12.75" thickBot="1">
      <c r="C42" s="600">
        <v>6</v>
      </c>
      <c r="D42" s="852">
        <v>21.3</v>
      </c>
      <c r="E42" s="852">
        <v>26.7</v>
      </c>
      <c r="F42" s="852">
        <v>38.200000000000003</v>
      </c>
      <c r="G42" s="852">
        <v>50.6</v>
      </c>
      <c r="H42" s="852">
        <v>65.3</v>
      </c>
      <c r="I42" s="852">
        <v>81.7</v>
      </c>
      <c r="J42" s="852">
        <v>100.4</v>
      </c>
      <c r="K42" s="852">
        <v>122.1</v>
      </c>
      <c r="L42" s="852">
        <v>146.1</v>
      </c>
      <c r="M42" s="852">
        <v>172.9</v>
      </c>
      <c r="N42" s="852">
        <v>202.8</v>
      </c>
      <c r="O42" s="601">
        <v>6</v>
      </c>
      <c r="AG42" s="600">
        <v>190</v>
      </c>
      <c r="AH42" s="892">
        <v>9700</v>
      </c>
      <c r="AI42" s="892">
        <v>9700</v>
      </c>
      <c r="AJ42" s="892">
        <v>9700</v>
      </c>
      <c r="AK42" s="892">
        <v>9700</v>
      </c>
      <c r="AL42" s="893">
        <v>9700</v>
      </c>
      <c r="AM42" s="894"/>
      <c r="AN42" s="892">
        <v>4200</v>
      </c>
      <c r="AO42" s="892">
        <v>4800</v>
      </c>
      <c r="AP42" s="892">
        <v>4800</v>
      </c>
      <c r="AQ42" s="895">
        <v>190</v>
      </c>
    </row>
    <row r="43" spans="3:43" ht="12.75" thickBot="1">
      <c r="C43" s="600">
        <v>7</v>
      </c>
      <c r="D43" s="852">
        <v>21.2</v>
      </c>
      <c r="E43" s="852">
        <v>26.6</v>
      </c>
      <c r="F43" s="852">
        <v>37.9</v>
      </c>
      <c r="G43" s="852">
        <v>50.3</v>
      </c>
      <c r="H43" s="852">
        <v>64.7</v>
      </c>
      <c r="I43" s="852">
        <v>80.7</v>
      </c>
      <c r="J43" s="852">
        <v>99.1</v>
      </c>
      <c r="K43" s="852">
        <v>120.2</v>
      </c>
      <c r="L43" s="852">
        <v>143.6</v>
      </c>
      <c r="M43" s="852">
        <v>169.8</v>
      </c>
      <c r="N43" s="852">
        <v>198.9</v>
      </c>
      <c r="O43" s="601">
        <v>7</v>
      </c>
      <c r="Q43" s="1349" t="s">
        <v>254</v>
      </c>
      <c r="R43" s="1350"/>
      <c r="S43" s="1350"/>
      <c r="T43" s="1350"/>
      <c r="U43" s="1350"/>
      <c r="V43" s="1350"/>
      <c r="W43" s="1350"/>
      <c r="X43" s="1350"/>
      <c r="Y43" s="1351"/>
      <c r="AG43" s="600">
        <v>200</v>
      </c>
      <c r="AH43" s="892">
        <v>10800</v>
      </c>
      <c r="AI43" s="892">
        <v>10800</v>
      </c>
      <c r="AJ43" s="892">
        <v>10800</v>
      </c>
      <c r="AK43" s="892">
        <v>10800</v>
      </c>
      <c r="AL43" s="893">
        <v>10800</v>
      </c>
      <c r="AM43" s="898">
        <v>50</v>
      </c>
      <c r="AN43" s="892">
        <v>4500</v>
      </c>
      <c r="AO43" s="892">
        <v>5100</v>
      </c>
      <c r="AP43" s="892">
        <v>5100</v>
      </c>
      <c r="AQ43" s="895">
        <v>200</v>
      </c>
    </row>
    <row r="44" spans="3:43">
      <c r="C44" s="600">
        <v>8</v>
      </c>
      <c r="D44" s="852">
        <v>21.1</v>
      </c>
      <c r="E44" s="852">
        <v>26.4</v>
      </c>
      <c r="F44" s="852">
        <v>37.700000000000003</v>
      </c>
      <c r="G44" s="852">
        <v>49.9</v>
      </c>
      <c r="H44" s="852">
        <v>64.099999999999994</v>
      </c>
      <c r="I44" s="852">
        <v>79.7</v>
      </c>
      <c r="J44" s="852">
        <v>97.9</v>
      </c>
      <c r="K44" s="852">
        <v>118.4</v>
      </c>
      <c r="L44" s="852">
        <v>141.30000000000001</v>
      </c>
      <c r="M44" s="852">
        <v>166.9</v>
      </c>
      <c r="N44" s="852">
        <v>195.3</v>
      </c>
      <c r="O44" s="601">
        <v>8</v>
      </c>
      <c r="Q44" s="899" t="s">
        <v>253</v>
      </c>
      <c r="R44" s="900">
        <v>70</v>
      </c>
      <c r="S44" s="900">
        <v>80</v>
      </c>
      <c r="T44" s="900">
        <v>90</v>
      </c>
      <c r="U44" s="900">
        <v>100</v>
      </c>
      <c r="V44" s="900">
        <v>110</v>
      </c>
      <c r="W44" s="900">
        <v>120</v>
      </c>
      <c r="X44" s="900">
        <v>130</v>
      </c>
      <c r="Y44" s="901">
        <v>140</v>
      </c>
      <c r="AG44" s="600">
        <v>210</v>
      </c>
      <c r="AH44" s="892">
        <v>11900</v>
      </c>
      <c r="AI44" s="892">
        <v>11900</v>
      </c>
      <c r="AJ44" s="892">
        <v>11900</v>
      </c>
      <c r="AK44" s="892">
        <v>11900</v>
      </c>
      <c r="AL44" s="893">
        <v>11900</v>
      </c>
      <c r="AM44" s="898">
        <v>200</v>
      </c>
      <c r="AN44" s="892">
        <v>4800</v>
      </c>
      <c r="AO44" s="892">
        <v>5300</v>
      </c>
      <c r="AP44" s="892">
        <v>5300</v>
      </c>
      <c r="AQ44" s="895">
        <v>210</v>
      </c>
    </row>
    <row r="45" spans="3:43">
      <c r="C45" s="600">
        <v>9</v>
      </c>
      <c r="D45" s="852">
        <v>21.1</v>
      </c>
      <c r="E45" s="852">
        <v>26.3</v>
      </c>
      <c r="F45" s="852">
        <v>37.4</v>
      </c>
      <c r="G45" s="852">
        <v>49.6</v>
      </c>
      <c r="H45" s="852">
        <v>63.5</v>
      </c>
      <c r="I45" s="852">
        <v>78.8</v>
      </c>
      <c r="J45" s="852">
        <v>96.8</v>
      </c>
      <c r="K45" s="852">
        <v>116.8</v>
      </c>
      <c r="L45" s="852">
        <v>139.1</v>
      </c>
      <c r="M45" s="852">
        <v>164.2</v>
      </c>
      <c r="N45" s="852">
        <v>191.8</v>
      </c>
      <c r="O45" s="601">
        <v>9</v>
      </c>
      <c r="Q45" s="902">
        <v>500</v>
      </c>
      <c r="R45" s="903">
        <f t="shared" ref="R45:R71" si="0">(2/18+R$44/3.6*2.5/$Q45)*180/PI()</f>
        <v>11.93662073189215</v>
      </c>
      <c r="S45" s="903">
        <f t="shared" ref="S45:Y60" si="1">(2/18+S$44/3.6*2.5/$Q45)*180/PI()</f>
        <v>12.732395447351628</v>
      </c>
      <c r="T45" s="903">
        <f t="shared" si="1"/>
        <v>13.528170162811104</v>
      </c>
      <c r="U45" s="903">
        <f t="shared" si="1"/>
        <v>14.323944878270581</v>
      </c>
      <c r="V45" s="903">
        <f t="shared" si="1"/>
        <v>15.119719593730055</v>
      </c>
      <c r="W45" s="903">
        <f t="shared" si="1"/>
        <v>15.915494309189533</v>
      </c>
      <c r="X45" s="903">
        <f t="shared" si="1"/>
        <v>16.71126902464901</v>
      </c>
      <c r="Y45" s="904">
        <f t="shared" si="1"/>
        <v>17.507043740108486</v>
      </c>
      <c r="AG45" s="600">
        <v>220</v>
      </c>
      <c r="AH45" s="892">
        <v>13000</v>
      </c>
      <c r="AI45" s="892">
        <v>13000</v>
      </c>
      <c r="AJ45" s="892">
        <v>13000</v>
      </c>
      <c r="AK45" s="892">
        <v>13000</v>
      </c>
      <c r="AL45" s="893">
        <v>13000</v>
      </c>
      <c r="AM45" s="898">
        <v>400</v>
      </c>
      <c r="AN45" s="892">
        <v>5100</v>
      </c>
      <c r="AO45" s="892">
        <v>5600</v>
      </c>
      <c r="AP45" s="892">
        <v>5600</v>
      </c>
      <c r="AQ45" s="895">
        <v>220</v>
      </c>
    </row>
    <row r="46" spans="3:43">
      <c r="C46" s="600">
        <v>10</v>
      </c>
      <c r="D46" s="852">
        <v>21</v>
      </c>
      <c r="E46" s="852">
        <v>26.1</v>
      </c>
      <c r="F46" s="852">
        <v>37.1</v>
      </c>
      <c r="G46" s="852">
        <v>49.2</v>
      </c>
      <c r="H46" s="852">
        <v>62.9</v>
      </c>
      <c r="I46" s="852">
        <v>78</v>
      </c>
      <c r="J46" s="852">
        <v>95.8</v>
      </c>
      <c r="K46" s="852">
        <v>115.2</v>
      </c>
      <c r="L46" s="852">
        <v>137.1</v>
      </c>
      <c r="M46" s="852">
        <v>161.5</v>
      </c>
      <c r="N46" s="852">
        <v>188.5</v>
      </c>
      <c r="O46" s="601">
        <v>10</v>
      </c>
      <c r="Q46" s="902">
        <v>550</v>
      </c>
      <c r="R46" s="903">
        <f t="shared" si="0"/>
        <v>11.430218640236118</v>
      </c>
      <c r="S46" s="903">
        <f t="shared" si="1"/>
        <v>12.153650199744735</v>
      </c>
      <c r="T46" s="903">
        <f t="shared" si="1"/>
        <v>12.87708175925335</v>
      </c>
      <c r="U46" s="903">
        <f t="shared" si="1"/>
        <v>13.600513318761966</v>
      </c>
      <c r="V46" s="903">
        <f t="shared" si="1"/>
        <v>14.323944878270581</v>
      </c>
      <c r="W46" s="903">
        <f t="shared" si="1"/>
        <v>15.047376437779198</v>
      </c>
      <c r="X46" s="903">
        <f t="shared" si="1"/>
        <v>15.770807997287811</v>
      </c>
      <c r="Y46" s="904">
        <f t="shared" si="1"/>
        <v>16.494239556796426</v>
      </c>
      <c r="AG46" s="600">
        <v>230</v>
      </c>
      <c r="AH46" s="892">
        <v>14200</v>
      </c>
      <c r="AI46" s="892">
        <v>14200</v>
      </c>
      <c r="AJ46" s="892">
        <v>14200</v>
      </c>
      <c r="AK46" s="892">
        <v>14200</v>
      </c>
      <c r="AL46" s="893">
        <v>14200</v>
      </c>
      <c r="AM46" s="898">
        <v>500</v>
      </c>
      <c r="AN46" s="892">
        <v>5400</v>
      </c>
      <c r="AO46" s="892">
        <v>5900</v>
      </c>
      <c r="AP46" s="892">
        <v>5900</v>
      </c>
      <c r="AQ46" s="895">
        <v>230</v>
      </c>
    </row>
    <row r="47" spans="3:43">
      <c r="C47" s="600">
        <v>11</v>
      </c>
      <c r="D47" s="852">
        <v>20.9</v>
      </c>
      <c r="E47" s="852">
        <v>26</v>
      </c>
      <c r="F47" s="852">
        <v>36.799999999999997</v>
      </c>
      <c r="G47" s="852">
        <v>48.8</v>
      </c>
      <c r="H47" s="852">
        <v>62.3</v>
      </c>
      <c r="I47" s="852">
        <v>77.5</v>
      </c>
      <c r="J47" s="852">
        <v>94.9</v>
      </c>
      <c r="K47" s="852">
        <v>113.8</v>
      </c>
      <c r="L47" s="852">
        <v>135.19999999999999</v>
      </c>
      <c r="M47" s="852">
        <v>158.9</v>
      </c>
      <c r="N47" s="852">
        <v>185.4</v>
      </c>
      <c r="O47" s="601">
        <v>11</v>
      </c>
      <c r="Q47" s="902">
        <v>600</v>
      </c>
      <c r="R47" s="903">
        <f t="shared" si="0"/>
        <v>11.008216897189426</v>
      </c>
      <c r="S47" s="903">
        <f t="shared" si="1"/>
        <v>11.67136249340566</v>
      </c>
      <c r="T47" s="903">
        <f t="shared" si="1"/>
        <v>12.334508089621888</v>
      </c>
      <c r="U47" s="903">
        <f t="shared" si="1"/>
        <v>12.99765368583812</v>
      </c>
      <c r="V47" s="903">
        <f t="shared" si="1"/>
        <v>13.660799282054349</v>
      </c>
      <c r="W47" s="903">
        <f t="shared" si="1"/>
        <v>14.323944878270581</v>
      </c>
      <c r="X47" s="903">
        <f t="shared" si="1"/>
        <v>14.987090474486813</v>
      </c>
      <c r="Y47" s="904">
        <f t="shared" si="1"/>
        <v>15.650236070703041</v>
      </c>
      <c r="AG47" s="600">
        <v>240</v>
      </c>
      <c r="AH47" s="892">
        <v>15500</v>
      </c>
      <c r="AI47" s="892">
        <v>15500</v>
      </c>
      <c r="AJ47" s="892">
        <v>15500</v>
      </c>
      <c r="AK47" s="892">
        <v>15500</v>
      </c>
      <c r="AL47" s="893">
        <v>15500</v>
      </c>
      <c r="AM47" s="898">
        <v>600</v>
      </c>
      <c r="AN47" s="892">
        <v>5600</v>
      </c>
      <c r="AO47" s="892">
        <v>6200</v>
      </c>
      <c r="AP47" s="892">
        <v>6200</v>
      </c>
      <c r="AQ47" s="895">
        <v>240</v>
      </c>
    </row>
    <row r="48" spans="3:43" ht="12.75" thickBot="1">
      <c r="C48" s="600">
        <v>12</v>
      </c>
      <c r="D48" s="852">
        <v>20.9</v>
      </c>
      <c r="E48" s="852">
        <v>25.8</v>
      </c>
      <c r="F48" s="852">
        <v>36.5</v>
      </c>
      <c r="G48" s="852">
        <v>48.4</v>
      </c>
      <c r="H48" s="852">
        <v>61.7</v>
      </c>
      <c r="I48" s="852">
        <v>77.099999999999994</v>
      </c>
      <c r="J48" s="852">
        <v>94.2</v>
      </c>
      <c r="K48" s="852">
        <v>112.5</v>
      </c>
      <c r="L48" s="852">
        <v>133.6</v>
      </c>
      <c r="M48" s="852">
        <v>156.5</v>
      </c>
      <c r="N48" s="852">
        <v>182.2</v>
      </c>
      <c r="O48" s="601">
        <v>12</v>
      </c>
      <c r="Q48" s="902">
        <v>650</v>
      </c>
      <c r="R48" s="903">
        <f t="shared" si="0"/>
        <v>10.651138499226841</v>
      </c>
      <c r="S48" s="903">
        <f t="shared" si="1"/>
        <v>11.263272895734133</v>
      </c>
      <c r="T48" s="903">
        <f t="shared" si="1"/>
        <v>11.875407292241421</v>
      </c>
      <c r="U48" s="903">
        <f t="shared" si="1"/>
        <v>12.487541688748712</v>
      </c>
      <c r="V48" s="903">
        <f t="shared" si="1"/>
        <v>13.099676085256002</v>
      </c>
      <c r="W48" s="903">
        <f t="shared" si="1"/>
        <v>13.711810481763292</v>
      </c>
      <c r="X48" s="903">
        <f t="shared" si="1"/>
        <v>14.323944878270579</v>
      </c>
      <c r="Y48" s="904">
        <f t="shared" si="1"/>
        <v>14.936079274777869</v>
      </c>
      <c r="AG48" s="877">
        <v>250</v>
      </c>
      <c r="AH48" s="905">
        <v>16800</v>
      </c>
      <c r="AI48" s="905">
        <v>16800</v>
      </c>
      <c r="AJ48" s="905">
        <v>16800</v>
      </c>
      <c r="AK48" s="905">
        <v>16800</v>
      </c>
      <c r="AL48" s="906">
        <v>16800</v>
      </c>
      <c r="AM48" s="907">
        <v>700</v>
      </c>
      <c r="AN48" s="905">
        <v>5900</v>
      </c>
      <c r="AO48" s="905">
        <v>6500</v>
      </c>
      <c r="AP48" s="905">
        <v>6500</v>
      </c>
      <c r="AQ48" s="908">
        <v>250</v>
      </c>
    </row>
    <row r="49" spans="3:46" ht="12.75" thickBot="1">
      <c r="C49" s="877" t="s">
        <v>59</v>
      </c>
      <c r="D49" s="878">
        <v>25</v>
      </c>
      <c r="E49" s="878">
        <v>30</v>
      </c>
      <c r="F49" s="878">
        <v>40</v>
      </c>
      <c r="G49" s="878">
        <v>50</v>
      </c>
      <c r="H49" s="878">
        <v>60</v>
      </c>
      <c r="I49" s="878">
        <v>70</v>
      </c>
      <c r="J49" s="878">
        <v>80</v>
      </c>
      <c r="K49" s="878">
        <v>90</v>
      </c>
      <c r="L49" s="878">
        <v>100</v>
      </c>
      <c r="M49" s="878">
        <v>110</v>
      </c>
      <c r="N49" s="878">
        <v>120</v>
      </c>
      <c r="O49" s="879"/>
      <c r="Q49" s="902">
        <v>700</v>
      </c>
      <c r="R49" s="903">
        <f t="shared" si="0"/>
        <v>10.345071300973196</v>
      </c>
      <c r="S49" s="903">
        <f t="shared" si="1"/>
        <v>10.91348181201568</v>
      </c>
      <c r="T49" s="903">
        <f t="shared" si="1"/>
        <v>11.481892323058165</v>
      </c>
      <c r="U49" s="903">
        <f t="shared" si="1"/>
        <v>12.050302834100647</v>
      </c>
      <c r="V49" s="903">
        <f t="shared" si="1"/>
        <v>12.61871334514313</v>
      </c>
      <c r="W49" s="903">
        <f t="shared" si="1"/>
        <v>13.187123856185615</v>
      </c>
      <c r="X49" s="903">
        <f t="shared" si="1"/>
        <v>13.755534367228096</v>
      </c>
      <c r="Y49" s="904">
        <f t="shared" si="1"/>
        <v>14.323944878270579</v>
      </c>
    </row>
    <row r="50" spans="3:46" ht="12.75" thickBot="1">
      <c r="Q50" s="902">
        <v>750</v>
      </c>
      <c r="R50" s="903">
        <f t="shared" si="0"/>
        <v>10.079813062486705</v>
      </c>
      <c r="S50" s="903">
        <f t="shared" si="1"/>
        <v>10.610329539459688</v>
      </c>
      <c r="T50" s="903">
        <f t="shared" si="1"/>
        <v>11.140846016432672</v>
      </c>
      <c r="U50" s="903">
        <f t="shared" si="1"/>
        <v>11.671362493405658</v>
      </c>
      <c r="V50" s="903">
        <f t="shared" si="1"/>
        <v>12.201878970378644</v>
      </c>
      <c r="W50" s="903">
        <f t="shared" si="1"/>
        <v>12.732395447351628</v>
      </c>
      <c r="X50" s="903">
        <f t="shared" si="1"/>
        <v>13.262911924324611</v>
      </c>
      <c r="Y50" s="904">
        <f t="shared" si="1"/>
        <v>13.793428401297595</v>
      </c>
      <c r="AG50" s="1328" t="s">
        <v>123</v>
      </c>
      <c r="AH50" s="1329"/>
      <c r="AI50" s="1329"/>
      <c r="AJ50" s="1329"/>
      <c r="AK50" s="1329"/>
      <c r="AL50" s="1329"/>
      <c r="AM50" s="1329"/>
      <c r="AN50" s="1329"/>
      <c r="AO50" s="1329"/>
      <c r="AP50" s="1329"/>
      <c r="AQ50" s="1329"/>
      <c r="AR50" s="1329"/>
      <c r="AS50" s="1329"/>
      <c r="AT50" s="1330"/>
    </row>
    <row r="51" spans="3:46" ht="12.75" thickBot="1">
      <c r="C51" s="1361" t="s">
        <v>80</v>
      </c>
      <c r="D51" s="1362"/>
      <c r="E51" s="1362"/>
      <c r="F51" s="1362"/>
      <c r="G51" s="1362"/>
      <c r="H51" s="1362"/>
      <c r="I51" s="1362"/>
      <c r="J51" s="1362"/>
      <c r="K51" s="1363"/>
      <c r="Q51" s="902">
        <v>800</v>
      </c>
      <c r="R51" s="903">
        <f t="shared" si="0"/>
        <v>9.8477121038110251</v>
      </c>
      <c r="S51" s="903">
        <f t="shared" si="1"/>
        <v>10.345071300973197</v>
      </c>
      <c r="T51" s="903">
        <f t="shared" si="1"/>
        <v>10.84243049813537</v>
      </c>
      <c r="U51" s="903">
        <f t="shared" si="1"/>
        <v>11.339789695297544</v>
      </c>
      <c r="V51" s="903">
        <f t="shared" si="1"/>
        <v>11.837148892459716</v>
      </c>
      <c r="W51" s="903">
        <f t="shared" si="1"/>
        <v>12.334508089621888</v>
      </c>
      <c r="X51" s="903">
        <f t="shared" si="1"/>
        <v>12.831867286784062</v>
      </c>
      <c r="Y51" s="904">
        <f t="shared" si="1"/>
        <v>13.329226483946233</v>
      </c>
      <c r="AG51" s="835" t="s">
        <v>122</v>
      </c>
      <c r="AH51" s="849">
        <v>3</v>
      </c>
      <c r="AI51" s="849">
        <v>4</v>
      </c>
      <c r="AJ51" s="849">
        <v>5</v>
      </c>
      <c r="AK51" s="849">
        <v>6</v>
      </c>
      <c r="AL51" s="849">
        <v>7</v>
      </c>
      <c r="AM51" s="849">
        <v>8</v>
      </c>
      <c r="AN51" s="849">
        <v>9</v>
      </c>
      <c r="AO51" s="849">
        <v>10</v>
      </c>
      <c r="AP51" s="849">
        <v>11</v>
      </c>
      <c r="AQ51" s="849">
        <v>12</v>
      </c>
      <c r="AR51" s="849" t="s">
        <v>137</v>
      </c>
      <c r="AS51" s="849" t="s">
        <v>127</v>
      </c>
      <c r="AT51" s="850" t="s">
        <v>128</v>
      </c>
    </row>
    <row r="52" spans="3:46" ht="13.5" customHeight="1">
      <c r="C52" s="1364" t="s">
        <v>81</v>
      </c>
      <c r="D52" s="1365"/>
      <c r="E52" s="1365"/>
      <c r="F52" s="1355" t="s">
        <v>82</v>
      </c>
      <c r="G52" s="1355"/>
      <c r="H52" s="1355"/>
      <c r="I52" s="1355" t="s">
        <v>83</v>
      </c>
      <c r="J52" s="1355"/>
      <c r="K52" s="1356"/>
      <c r="Q52" s="902">
        <v>850</v>
      </c>
      <c r="R52" s="903">
        <f t="shared" si="0"/>
        <v>9.6429171402736582</v>
      </c>
      <c r="S52" s="903">
        <f t="shared" si="1"/>
        <v>10.111019914073351</v>
      </c>
      <c r="T52" s="903">
        <f t="shared" si="1"/>
        <v>10.579122687873044</v>
      </c>
      <c r="U52" s="903">
        <f t="shared" si="1"/>
        <v>11.047225461672735</v>
      </c>
      <c r="V52" s="903">
        <f t="shared" si="1"/>
        <v>11.515328235472429</v>
      </c>
      <c r="W52" s="903">
        <f t="shared" si="1"/>
        <v>11.98343100927212</v>
      </c>
      <c r="X52" s="903">
        <f t="shared" si="1"/>
        <v>12.451533783071811</v>
      </c>
      <c r="Y52" s="904">
        <f t="shared" si="1"/>
        <v>12.919636556871504</v>
      </c>
      <c r="AG52" s="835" t="s">
        <v>6</v>
      </c>
      <c r="AH52" s="857" t="s">
        <v>129</v>
      </c>
      <c r="AI52" s="857" t="s">
        <v>130</v>
      </c>
      <c r="AJ52" s="857" t="s">
        <v>131</v>
      </c>
      <c r="AK52" s="857" t="s">
        <v>132</v>
      </c>
      <c r="AL52" s="857" t="s">
        <v>133</v>
      </c>
      <c r="AM52" s="857" t="s">
        <v>134</v>
      </c>
      <c r="AN52" s="857" t="s">
        <v>135</v>
      </c>
      <c r="AO52" s="857" t="s">
        <v>136</v>
      </c>
      <c r="AP52" s="857" t="s">
        <v>139</v>
      </c>
      <c r="AQ52" s="857" t="s">
        <v>140</v>
      </c>
      <c r="AR52" s="857">
        <v>140</v>
      </c>
      <c r="AS52" s="857">
        <v>6350</v>
      </c>
      <c r="AT52" s="858">
        <v>16250</v>
      </c>
    </row>
    <row r="53" spans="3:46">
      <c r="C53" s="1343"/>
      <c r="D53" s="1344"/>
      <c r="E53" s="1344"/>
      <c r="F53" s="1357"/>
      <c r="G53" s="1357"/>
      <c r="H53" s="1357"/>
      <c r="I53" s="1357"/>
      <c r="J53" s="1357"/>
      <c r="K53" s="1358"/>
      <c r="Q53" s="902">
        <v>900</v>
      </c>
      <c r="R53" s="903">
        <f t="shared" si="0"/>
        <v>9.4608771726848886</v>
      </c>
      <c r="S53" s="903">
        <f t="shared" si="1"/>
        <v>9.9029742368290439</v>
      </c>
      <c r="T53" s="903">
        <f t="shared" si="1"/>
        <v>10.345071300973197</v>
      </c>
      <c r="U53" s="903">
        <f t="shared" si="1"/>
        <v>10.787168365117353</v>
      </c>
      <c r="V53" s="903">
        <f t="shared" si="1"/>
        <v>11.229265429261503</v>
      </c>
      <c r="W53" s="903">
        <f t="shared" si="1"/>
        <v>11.67136249340566</v>
      </c>
      <c r="X53" s="903">
        <f t="shared" si="1"/>
        <v>12.113459557549813</v>
      </c>
      <c r="Y53" s="904">
        <f t="shared" si="1"/>
        <v>12.555556621693965</v>
      </c>
      <c r="AE53" s="876"/>
      <c r="AG53" s="835" t="s">
        <v>8</v>
      </c>
      <c r="AH53" s="857" t="s">
        <v>150</v>
      </c>
      <c r="AI53" s="857" t="s">
        <v>149</v>
      </c>
      <c r="AJ53" s="857" t="s">
        <v>148</v>
      </c>
      <c r="AK53" s="857" t="s">
        <v>147</v>
      </c>
      <c r="AL53" s="857" t="s">
        <v>146</v>
      </c>
      <c r="AM53" s="857" t="s">
        <v>145</v>
      </c>
      <c r="AN53" s="857" t="s">
        <v>144</v>
      </c>
      <c r="AO53" s="857" t="s">
        <v>143</v>
      </c>
      <c r="AP53" s="857" t="s">
        <v>142</v>
      </c>
      <c r="AQ53" s="857" t="s">
        <v>141</v>
      </c>
      <c r="AR53" s="857">
        <v>120</v>
      </c>
      <c r="AS53" s="857">
        <v>7000</v>
      </c>
      <c r="AT53" s="858">
        <v>19600</v>
      </c>
    </row>
    <row r="54" spans="3:46">
      <c r="C54" s="1343" t="s">
        <v>84</v>
      </c>
      <c r="D54" s="1344"/>
      <c r="E54" s="1344"/>
      <c r="F54" s="1359" t="s">
        <v>85</v>
      </c>
      <c r="G54" s="1359"/>
      <c r="H54" s="1359"/>
      <c r="I54" s="1359" t="s">
        <v>86</v>
      </c>
      <c r="J54" s="1359"/>
      <c r="K54" s="1360"/>
      <c r="Q54" s="902">
        <v>950</v>
      </c>
      <c r="R54" s="903">
        <f t="shared" si="0"/>
        <v>9.2979993069475704</v>
      </c>
      <c r="S54" s="903">
        <f t="shared" si="1"/>
        <v>9.7168281045578198</v>
      </c>
      <c r="T54" s="903">
        <f t="shared" si="1"/>
        <v>10.135656902168071</v>
      </c>
      <c r="U54" s="903">
        <f t="shared" si="1"/>
        <v>10.554485699778322</v>
      </c>
      <c r="V54" s="903">
        <f t="shared" si="1"/>
        <v>10.973314497388573</v>
      </c>
      <c r="W54" s="903">
        <f t="shared" si="1"/>
        <v>11.392143294998824</v>
      </c>
      <c r="X54" s="903">
        <f t="shared" si="1"/>
        <v>11.810972092609074</v>
      </c>
      <c r="Y54" s="904">
        <f t="shared" si="1"/>
        <v>12.229800890219325</v>
      </c>
      <c r="AG54" s="835" t="s">
        <v>9</v>
      </c>
      <c r="AH54" s="857" t="s">
        <v>151</v>
      </c>
      <c r="AI54" s="857" t="s">
        <v>152</v>
      </c>
      <c r="AJ54" s="857" t="s">
        <v>153</v>
      </c>
      <c r="AK54" s="857" t="s">
        <v>154</v>
      </c>
      <c r="AL54" s="857" t="s">
        <v>155</v>
      </c>
      <c r="AM54" s="857" t="s">
        <v>156</v>
      </c>
      <c r="AN54" s="857" t="s">
        <v>157</v>
      </c>
      <c r="AO54" s="857" t="s">
        <v>158</v>
      </c>
      <c r="AP54" s="857">
        <v>549</v>
      </c>
      <c r="AQ54" s="857">
        <v>574</v>
      </c>
      <c r="AR54" s="857">
        <v>100</v>
      </c>
      <c r="AS54" s="857">
        <v>4600</v>
      </c>
      <c r="AT54" s="858">
        <v>9100</v>
      </c>
    </row>
    <row r="55" spans="3:46" ht="12.75" customHeight="1">
      <c r="C55" s="1343" t="s">
        <v>87</v>
      </c>
      <c r="D55" s="1344"/>
      <c r="E55" s="1344"/>
      <c r="F55" s="1359" t="s">
        <v>88</v>
      </c>
      <c r="G55" s="1359"/>
      <c r="H55" s="1359"/>
      <c r="I55" s="1359" t="s">
        <v>86</v>
      </c>
      <c r="J55" s="1359"/>
      <c r="K55" s="1360"/>
      <c r="Q55" s="902">
        <v>1000</v>
      </c>
      <c r="R55" s="903">
        <f t="shared" si="0"/>
        <v>9.1514092277839811</v>
      </c>
      <c r="S55" s="903">
        <f t="shared" si="1"/>
        <v>9.5492965855137211</v>
      </c>
      <c r="T55" s="903">
        <f t="shared" si="1"/>
        <v>9.9471839432434592</v>
      </c>
      <c r="U55" s="903">
        <f t="shared" si="1"/>
        <v>10.345071300973197</v>
      </c>
      <c r="V55" s="903">
        <f t="shared" si="1"/>
        <v>10.742958658702936</v>
      </c>
      <c r="W55" s="903">
        <f t="shared" si="1"/>
        <v>11.140846016432674</v>
      </c>
      <c r="X55" s="903">
        <f t="shared" si="1"/>
        <v>11.538733374162412</v>
      </c>
      <c r="Y55" s="904">
        <f t="shared" si="1"/>
        <v>11.93662073189215</v>
      </c>
      <c r="AG55" s="835" t="s">
        <v>12</v>
      </c>
      <c r="AH55" s="857" t="s">
        <v>159</v>
      </c>
      <c r="AI55" s="857" t="s">
        <v>160</v>
      </c>
      <c r="AJ55" s="857" t="s">
        <v>161</v>
      </c>
      <c r="AK55" s="857">
        <v>284</v>
      </c>
      <c r="AL55" s="857">
        <v>309</v>
      </c>
      <c r="AM55" s="857">
        <v>334</v>
      </c>
      <c r="AN55" s="857">
        <v>359</v>
      </c>
      <c r="AO55" s="857">
        <v>384</v>
      </c>
      <c r="AP55" s="857">
        <v>409</v>
      </c>
      <c r="AQ55" s="857">
        <v>434</v>
      </c>
      <c r="AR55" s="857">
        <v>80</v>
      </c>
      <c r="AS55" s="857">
        <v>2800</v>
      </c>
      <c r="AT55" s="858">
        <v>3900</v>
      </c>
    </row>
    <row r="56" spans="3:46">
      <c r="C56" s="1343" t="s">
        <v>89</v>
      </c>
      <c r="D56" s="1344"/>
      <c r="E56" s="1344"/>
      <c r="F56" s="1359" t="s">
        <v>920</v>
      </c>
      <c r="G56" s="1359"/>
      <c r="H56" s="1359"/>
      <c r="I56" s="1359" t="s">
        <v>920</v>
      </c>
      <c r="J56" s="1359"/>
      <c r="K56" s="1360"/>
      <c r="Q56" s="902">
        <v>1100</v>
      </c>
      <c r="R56" s="903">
        <f t="shared" si="0"/>
        <v>8.8982081819559653</v>
      </c>
      <c r="S56" s="903">
        <f t="shared" si="1"/>
        <v>9.2599239617102747</v>
      </c>
      <c r="T56" s="903">
        <f t="shared" si="1"/>
        <v>9.6216397414645822</v>
      </c>
      <c r="U56" s="903">
        <f t="shared" si="1"/>
        <v>9.9833555212188898</v>
      </c>
      <c r="V56" s="903">
        <f t="shared" si="1"/>
        <v>10.345071300973197</v>
      </c>
      <c r="W56" s="903">
        <f t="shared" si="1"/>
        <v>10.706787080727503</v>
      </c>
      <c r="X56" s="903">
        <f t="shared" si="1"/>
        <v>11.068502860481813</v>
      </c>
      <c r="Y56" s="904">
        <f t="shared" si="1"/>
        <v>11.430218640236118</v>
      </c>
      <c r="AG56" s="835" t="s">
        <v>13</v>
      </c>
      <c r="AH56" s="857">
        <v>136</v>
      </c>
      <c r="AI56" s="857">
        <v>161</v>
      </c>
      <c r="AJ56" s="857">
        <v>186</v>
      </c>
      <c r="AK56" s="857">
        <v>211</v>
      </c>
      <c r="AL56" s="857">
        <v>236</v>
      </c>
      <c r="AM56" s="857">
        <v>261</v>
      </c>
      <c r="AN56" s="857">
        <v>286</v>
      </c>
      <c r="AO56" s="857">
        <v>311</v>
      </c>
      <c r="AP56" s="857">
        <v>336</v>
      </c>
      <c r="AQ56" s="857">
        <v>361</v>
      </c>
      <c r="AR56" s="857">
        <v>60</v>
      </c>
      <c r="AS56" s="857">
        <v>1550</v>
      </c>
      <c r="AT56" s="858">
        <v>1500</v>
      </c>
    </row>
    <row r="57" spans="3:46">
      <c r="C57" s="1343"/>
      <c r="D57" s="1344"/>
      <c r="E57" s="1344"/>
      <c r="F57" s="1359" t="s">
        <v>919</v>
      </c>
      <c r="G57" s="1359"/>
      <c r="H57" s="1359"/>
      <c r="I57" s="1359" t="s">
        <v>919</v>
      </c>
      <c r="J57" s="1359"/>
      <c r="K57" s="1360"/>
      <c r="Q57" s="902">
        <v>1200</v>
      </c>
      <c r="R57" s="903">
        <f t="shared" si="0"/>
        <v>8.6872073104326208</v>
      </c>
      <c r="S57" s="903">
        <f t="shared" si="1"/>
        <v>9.0187801085407369</v>
      </c>
      <c r="T57" s="903">
        <f t="shared" si="1"/>
        <v>9.3503529066488511</v>
      </c>
      <c r="U57" s="903">
        <f t="shared" si="1"/>
        <v>9.6819257047569671</v>
      </c>
      <c r="V57" s="903">
        <f t="shared" si="1"/>
        <v>10.01349850286508</v>
      </c>
      <c r="W57" s="903">
        <f t="shared" si="1"/>
        <v>10.345071300973197</v>
      </c>
      <c r="X57" s="903">
        <f t="shared" si="1"/>
        <v>10.676644099081312</v>
      </c>
      <c r="Y57" s="904">
        <f t="shared" si="1"/>
        <v>11.008216897189426</v>
      </c>
      <c r="AG57" s="863" t="s">
        <v>118</v>
      </c>
      <c r="AH57" s="865" t="s">
        <v>151</v>
      </c>
      <c r="AI57" s="865" t="s">
        <v>152</v>
      </c>
      <c r="AJ57" s="865" t="s">
        <v>153</v>
      </c>
      <c r="AK57" s="865" t="s">
        <v>162</v>
      </c>
      <c r="AL57" s="857" t="s">
        <v>155</v>
      </c>
      <c r="AM57" s="857" t="s">
        <v>156</v>
      </c>
      <c r="AN57" s="857" t="s">
        <v>157</v>
      </c>
      <c r="AO57" s="857" t="s">
        <v>158</v>
      </c>
      <c r="AP57" s="857">
        <v>549</v>
      </c>
      <c r="AQ57" s="865">
        <v>574</v>
      </c>
      <c r="AR57" s="865">
        <v>100</v>
      </c>
      <c r="AS57" s="865">
        <v>4600</v>
      </c>
      <c r="AT57" s="909">
        <v>9100</v>
      </c>
    </row>
    <row r="58" spans="3:46" ht="12.75" thickBot="1">
      <c r="C58" s="1368" t="s">
        <v>90</v>
      </c>
      <c r="D58" s="1369"/>
      <c r="E58" s="1369"/>
      <c r="F58" s="1366" t="s">
        <v>91</v>
      </c>
      <c r="G58" s="1366"/>
      <c r="H58" s="1366"/>
      <c r="I58" s="1366" t="s">
        <v>88</v>
      </c>
      <c r="J58" s="1366"/>
      <c r="K58" s="1367"/>
      <c r="Q58" s="902">
        <v>1300</v>
      </c>
      <c r="R58" s="903">
        <f t="shared" si="0"/>
        <v>8.5086681114513283</v>
      </c>
      <c r="S58" s="903">
        <f t="shared" si="1"/>
        <v>8.8147353097049734</v>
      </c>
      <c r="T58" s="903">
        <f t="shared" si="1"/>
        <v>9.1208025079586168</v>
      </c>
      <c r="U58" s="903">
        <f t="shared" si="1"/>
        <v>9.4268697062122637</v>
      </c>
      <c r="V58" s="903">
        <f t="shared" si="1"/>
        <v>9.7329369044659071</v>
      </c>
      <c r="W58" s="903">
        <f t="shared" si="1"/>
        <v>10.039004102719552</v>
      </c>
      <c r="X58" s="903">
        <f t="shared" si="1"/>
        <v>10.345071300973196</v>
      </c>
      <c r="Y58" s="904">
        <f t="shared" si="1"/>
        <v>10.651138499226841</v>
      </c>
      <c r="AG58" s="836" t="s">
        <v>119</v>
      </c>
      <c r="AH58" s="872">
        <v>136</v>
      </c>
      <c r="AI58" s="872">
        <v>161</v>
      </c>
      <c r="AJ58" s="872">
        <v>186</v>
      </c>
      <c r="AK58" s="872">
        <v>211</v>
      </c>
      <c r="AL58" s="872">
        <v>236</v>
      </c>
      <c r="AM58" s="872">
        <v>261</v>
      </c>
      <c r="AN58" s="872">
        <v>286</v>
      </c>
      <c r="AO58" s="872">
        <v>311</v>
      </c>
      <c r="AP58" s="872">
        <v>336</v>
      </c>
      <c r="AQ58" s="872">
        <v>361</v>
      </c>
      <c r="AR58" s="872">
        <v>60</v>
      </c>
      <c r="AS58" s="872">
        <v>1550</v>
      </c>
      <c r="AT58" s="910">
        <v>1500</v>
      </c>
    </row>
    <row r="59" spans="3:46" ht="12.75" thickBot="1">
      <c r="Q59" s="902">
        <v>1400</v>
      </c>
      <c r="R59" s="903">
        <f t="shared" si="0"/>
        <v>8.3556345123245048</v>
      </c>
      <c r="S59" s="903">
        <f t="shared" si="1"/>
        <v>8.6398397678457464</v>
      </c>
      <c r="T59" s="903">
        <f t="shared" si="1"/>
        <v>8.9240450233669879</v>
      </c>
      <c r="U59" s="903">
        <f t="shared" si="1"/>
        <v>9.2082502788882294</v>
      </c>
      <c r="V59" s="903">
        <f t="shared" si="1"/>
        <v>9.492455534409471</v>
      </c>
      <c r="W59" s="903">
        <f t="shared" si="1"/>
        <v>9.7766607899307143</v>
      </c>
      <c r="X59" s="903">
        <f t="shared" si="1"/>
        <v>10.060866045451954</v>
      </c>
      <c r="Y59" s="904">
        <f t="shared" si="1"/>
        <v>10.345071300973196</v>
      </c>
    </row>
    <row r="60" spans="3:46" ht="12.75" thickBot="1">
      <c r="C60" s="1361" t="s">
        <v>92</v>
      </c>
      <c r="D60" s="1362"/>
      <c r="E60" s="1362"/>
      <c r="F60" s="1362"/>
      <c r="G60" s="1362"/>
      <c r="H60" s="1362"/>
      <c r="I60" s="1362"/>
      <c r="J60" s="1362"/>
      <c r="K60" s="1363"/>
      <c r="Q60" s="902">
        <v>1500</v>
      </c>
      <c r="R60" s="903">
        <f t="shared" si="0"/>
        <v>8.2230053930812588</v>
      </c>
      <c r="S60" s="903">
        <f t="shared" si="1"/>
        <v>8.4882636315677509</v>
      </c>
      <c r="T60" s="903">
        <f t="shared" si="1"/>
        <v>8.753521870054243</v>
      </c>
      <c r="U60" s="903">
        <f t="shared" si="1"/>
        <v>9.0187801085407351</v>
      </c>
      <c r="V60" s="903">
        <f t="shared" si="1"/>
        <v>9.284038347027229</v>
      </c>
      <c r="W60" s="903">
        <f t="shared" si="1"/>
        <v>9.5492965855137211</v>
      </c>
      <c r="X60" s="903">
        <f t="shared" si="1"/>
        <v>9.8145548240002114</v>
      </c>
      <c r="Y60" s="904">
        <f t="shared" si="1"/>
        <v>10.079813062486705</v>
      </c>
      <c r="AG60" s="1328" t="s">
        <v>124</v>
      </c>
      <c r="AH60" s="1329"/>
      <c r="AI60" s="1329"/>
      <c r="AJ60" s="1329"/>
      <c r="AK60" s="1329"/>
      <c r="AL60" s="1329"/>
      <c r="AM60" s="1329"/>
      <c r="AN60" s="1329"/>
      <c r="AO60" s="1329"/>
      <c r="AP60" s="1329"/>
      <c r="AQ60" s="1329"/>
      <c r="AR60" s="1329"/>
      <c r="AS60" s="1329"/>
      <c r="AT60" s="1330"/>
    </row>
    <row r="61" spans="3:46">
      <c r="C61" s="1364" t="s">
        <v>93</v>
      </c>
      <c r="D61" s="1365"/>
      <c r="E61" s="1365"/>
      <c r="F61" s="939" t="s">
        <v>94</v>
      </c>
      <c r="G61" s="939" t="s">
        <v>95</v>
      </c>
      <c r="H61" s="939" t="s">
        <v>96</v>
      </c>
      <c r="I61" s="939" t="s">
        <v>97</v>
      </c>
      <c r="J61" s="939" t="s">
        <v>98</v>
      </c>
      <c r="K61" s="940" t="s">
        <v>99</v>
      </c>
      <c r="Q61" s="902">
        <v>1600</v>
      </c>
      <c r="R61" s="903">
        <f t="shared" si="0"/>
        <v>8.1069549137434187</v>
      </c>
      <c r="S61" s="903">
        <f t="shared" ref="S61:Y71" si="2">(2/18+S$44/3.6*2.5/$Q61)*180/PI()</f>
        <v>8.3556345123245048</v>
      </c>
      <c r="T61" s="903">
        <f t="shared" si="2"/>
        <v>8.6043141109055927</v>
      </c>
      <c r="U61" s="903">
        <f t="shared" si="2"/>
        <v>8.8529937094866789</v>
      </c>
      <c r="V61" s="903">
        <f t="shared" si="2"/>
        <v>9.101673308067765</v>
      </c>
      <c r="W61" s="903">
        <f t="shared" si="2"/>
        <v>9.3503529066488511</v>
      </c>
      <c r="X61" s="903">
        <f t="shared" si="2"/>
        <v>9.5990325052299372</v>
      </c>
      <c r="Y61" s="904">
        <f t="shared" si="2"/>
        <v>9.8477121038110251</v>
      </c>
      <c r="AG61" s="835" t="s">
        <v>122</v>
      </c>
      <c r="AH61" s="849">
        <v>3</v>
      </c>
      <c r="AI61" s="849">
        <v>4</v>
      </c>
      <c r="AJ61" s="849">
        <v>5</v>
      </c>
      <c r="AK61" s="849">
        <v>6</v>
      </c>
      <c r="AL61" s="849">
        <v>7</v>
      </c>
      <c r="AM61" s="849">
        <v>8</v>
      </c>
      <c r="AN61" s="849">
        <v>9</v>
      </c>
      <c r="AO61" s="849">
        <v>10</v>
      </c>
      <c r="AP61" s="849">
        <v>11</v>
      </c>
      <c r="AQ61" s="849">
        <v>12</v>
      </c>
      <c r="AR61" s="849" t="s">
        <v>63</v>
      </c>
      <c r="AS61" s="849" t="s">
        <v>127</v>
      </c>
      <c r="AT61" s="850" t="s">
        <v>128</v>
      </c>
    </row>
    <row r="62" spans="3:46">
      <c r="C62" s="1343" t="s">
        <v>100</v>
      </c>
      <c r="D62" s="1344"/>
      <c r="E62" s="1344"/>
      <c r="F62" s="886">
        <v>25</v>
      </c>
      <c r="G62" s="886">
        <v>45</v>
      </c>
      <c r="H62" s="886">
        <v>75</v>
      </c>
      <c r="I62" s="886">
        <v>120</v>
      </c>
      <c r="J62" s="886">
        <v>180</v>
      </c>
      <c r="K62" s="887">
        <v>250</v>
      </c>
      <c r="Q62" s="902">
        <v>1700</v>
      </c>
      <c r="R62" s="903">
        <f t="shared" si="0"/>
        <v>8.004557431974737</v>
      </c>
      <c r="S62" s="903">
        <f t="shared" si="2"/>
        <v>8.2386088188745816</v>
      </c>
      <c r="T62" s="903">
        <f t="shared" si="2"/>
        <v>8.472660205774428</v>
      </c>
      <c r="U62" s="903">
        <f t="shared" si="2"/>
        <v>8.7067115926742744</v>
      </c>
      <c r="V62" s="903">
        <f t="shared" si="2"/>
        <v>8.9407629795741208</v>
      </c>
      <c r="W62" s="903">
        <f t="shared" si="2"/>
        <v>9.1748143664739654</v>
      </c>
      <c r="X62" s="903">
        <f t="shared" si="2"/>
        <v>9.4088657533738136</v>
      </c>
      <c r="Y62" s="904">
        <f t="shared" si="2"/>
        <v>9.6429171402736582</v>
      </c>
      <c r="AG62" s="835" t="s">
        <v>6</v>
      </c>
      <c r="AH62" s="857" t="s">
        <v>125</v>
      </c>
      <c r="AI62" s="857" t="s">
        <v>126</v>
      </c>
      <c r="AJ62" s="857">
        <v>252</v>
      </c>
      <c r="AK62" s="857">
        <v>277</v>
      </c>
      <c r="AL62" s="857">
        <v>302</v>
      </c>
      <c r="AM62" s="857">
        <v>327</v>
      </c>
      <c r="AN62" s="857">
        <v>352</v>
      </c>
      <c r="AO62" s="857">
        <v>377</v>
      </c>
      <c r="AP62" s="857">
        <v>402</v>
      </c>
      <c r="AQ62" s="857">
        <v>427</v>
      </c>
      <c r="AR62" s="857">
        <v>90</v>
      </c>
      <c r="AS62" s="857">
        <v>2700</v>
      </c>
      <c r="AT62" s="858">
        <v>3650</v>
      </c>
    </row>
    <row r="63" spans="3:46">
      <c r="C63" s="1343" t="s">
        <v>101</v>
      </c>
      <c r="D63" s="1344"/>
      <c r="E63" s="1344"/>
      <c r="F63" s="1370">
        <v>7.0000000000000007E-2</v>
      </c>
      <c r="G63" s="1370"/>
      <c r="H63" s="1370">
        <v>0.05</v>
      </c>
      <c r="I63" s="1370"/>
      <c r="J63" s="1370"/>
      <c r="K63" s="1371"/>
      <c r="Q63" s="902">
        <v>1800</v>
      </c>
      <c r="R63" s="903">
        <f t="shared" si="0"/>
        <v>7.9135374481803513</v>
      </c>
      <c r="S63" s="903">
        <f t="shared" si="2"/>
        <v>8.1345859802524281</v>
      </c>
      <c r="T63" s="903">
        <f t="shared" si="2"/>
        <v>8.3556345123245048</v>
      </c>
      <c r="U63" s="903">
        <f t="shared" si="2"/>
        <v>8.5766830443965816</v>
      </c>
      <c r="V63" s="903">
        <f t="shared" si="2"/>
        <v>8.7977315764686583</v>
      </c>
      <c r="W63" s="903">
        <f t="shared" si="2"/>
        <v>9.0187801085407369</v>
      </c>
      <c r="X63" s="903">
        <f t="shared" si="2"/>
        <v>9.2398286406128136</v>
      </c>
      <c r="Y63" s="904">
        <f t="shared" si="2"/>
        <v>9.4608771726848886</v>
      </c>
      <c r="AG63" s="835" t="s">
        <v>8</v>
      </c>
      <c r="AH63" s="857" t="s">
        <v>138</v>
      </c>
      <c r="AI63" s="857">
        <v>191</v>
      </c>
      <c r="AJ63" s="857">
        <v>216</v>
      </c>
      <c r="AK63" s="857">
        <v>241</v>
      </c>
      <c r="AL63" s="857">
        <v>266</v>
      </c>
      <c r="AM63" s="857">
        <v>291</v>
      </c>
      <c r="AN63" s="857">
        <v>316</v>
      </c>
      <c r="AO63" s="857">
        <v>341</v>
      </c>
      <c r="AP63" s="857">
        <v>366</v>
      </c>
      <c r="AQ63" s="857">
        <v>391</v>
      </c>
      <c r="AR63" s="857">
        <v>70</v>
      </c>
      <c r="AS63" s="857">
        <v>2100</v>
      </c>
      <c r="AT63" s="858">
        <v>2450</v>
      </c>
    </row>
    <row r="64" spans="3:46">
      <c r="C64" s="1343" t="s">
        <v>102</v>
      </c>
      <c r="D64" s="1344"/>
      <c r="E64" s="1344"/>
      <c r="F64" s="1370">
        <v>0.08</v>
      </c>
      <c r="G64" s="1370"/>
      <c r="H64" s="1370">
        <v>0.06</v>
      </c>
      <c r="I64" s="1370"/>
      <c r="J64" s="1370"/>
      <c r="K64" s="1371"/>
      <c r="Q64" s="902">
        <v>1900</v>
      </c>
      <c r="R64" s="903">
        <f t="shared" si="0"/>
        <v>7.8320985153116913</v>
      </c>
      <c r="S64" s="903">
        <f t="shared" si="2"/>
        <v>8.0415129141168169</v>
      </c>
      <c r="T64" s="903">
        <f t="shared" si="2"/>
        <v>8.2509273129219416</v>
      </c>
      <c r="U64" s="903">
        <f t="shared" si="2"/>
        <v>8.4603417117270663</v>
      </c>
      <c r="V64" s="903">
        <f t="shared" si="2"/>
        <v>8.6697561105321927</v>
      </c>
      <c r="W64" s="903">
        <f t="shared" si="2"/>
        <v>8.8791705093373174</v>
      </c>
      <c r="X64" s="903">
        <f t="shared" si="2"/>
        <v>9.0885849081424439</v>
      </c>
      <c r="Y64" s="904">
        <f t="shared" si="2"/>
        <v>9.2979993069475704</v>
      </c>
      <c r="AG64" s="835" t="s">
        <v>9</v>
      </c>
      <c r="AH64" s="857">
        <v>136</v>
      </c>
      <c r="AI64" s="857">
        <v>161</v>
      </c>
      <c r="AJ64" s="857">
        <v>186</v>
      </c>
      <c r="AK64" s="857">
        <v>211</v>
      </c>
      <c r="AL64" s="857">
        <v>236</v>
      </c>
      <c r="AM64" s="857">
        <v>261</v>
      </c>
      <c r="AN64" s="857">
        <v>286</v>
      </c>
      <c r="AO64" s="857">
        <v>311</v>
      </c>
      <c r="AP64" s="857">
        <v>336</v>
      </c>
      <c r="AQ64" s="857">
        <v>361</v>
      </c>
      <c r="AR64" s="857">
        <v>60</v>
      </c>
      <c r="AS64" s="857">
        <v>1550</v>
      </c>
      <c r="AT64" s="858">
        <v>1500</v>
      </c>
    </row>
    <row r="65" spans="3:46">
      <c r="C65" s="1343" t="s">
        <v>335</v>
      </c>
      <c r="D65" s="1344"/>
      <c r="E65" s="1344"/>
      <c r="F65" s="886">
        <v>500</v>
      </c>
      <c r="G65" s="886">
        <v>1000</v>
      </c>
      <c r="H65" s="886">
        <v>1500</v>
      </c>
      <c r="I65" s="886">
        <v>2000</v>
      </c>
      <c r="J65" s="886">
        <v>2800</v>
      </c>
      <c r="K65" s="887">
        <v>4000</v>
      </c>
      <c r="Q65" s="902">
        <v>2000</v>
      </c>
      <c r="R65" s="903">
        <f t="shared" si="0"/>
        <v>7.7588034757298976</v>
      </c>
      <c r="S65" s="903">
        <f t="shared" si="2"/>
        <v>7.9577471545947667</v>
      </c>
      <c r="T65" s="903">
        <f t="shared" si="2"/>
        <v>8.1566908334596366</v>
      </c>
      <c r="U65" s="903">
        <f t="shared" si="2"/>
        <v>8.3556345123245048</v>
      </c>
      <c r="V65" s="903">
        <f t="shared" si="2"/>
        <v>8.5545781911893748</v>
      </c>
      <c r="W65" s="903">
        <f t="shared" si="2"/>
        <v>8.7535218700542448</v>
      </c>
      <c r="X65" s="903">
        <f t="shared" si="2"/>
        <v>8.9524655489191129</v>
      </c>
      <c r="Y65" s="904">
        <f t="shared" si="2"/>
        <v>9.1514092277839811</v>
      </c>
      <c r="AG65" s="835" t="s">
        <v>12</v>
      </c>
      <c r="AH65" s="857">
        <v>114</v>
      </c>
      <c r="AI65" s="857">
        <v>139</v>
      </c>
      <c r="AJ65" s="857">
        <v>164</v>
      </c>
      <c r="AK65" s="857">
        <v>189</v>
      </c>
      <c r="AL65" s="857">
        <v>214</v>
      </c>
      <c r="AM65" s="857">
        <v>239</v>
      </c>
      <c r="AN65" s="857">
        <v>264</v>
      </c>
      <c r="AO65" s="857">
        <v>289</v>
      </c>
      <c r="AP65" s="857">
        <v>314</v>
      </c>
      <c r="AQ65" s="857">
        <v>339</v>
      </c>
      <c r="AR65" s="857">
        <v>50</v>
      </c>
      <c r="AS65" s="857">
        <v>1100</v>
      </c>
      <c r="AT65" s="858">
        <v>850</v>
      </c>
    </row>
    <row r="66" spans="3:46">
      <c r="C66" s="1343" t="s">
        <v>336</v>
      </c>
      <c r="D66" s="1344"/>
      <c r="E66" s="1344"/>
      <c r="F66" s="886">
        <v>250</v>
      </c>
      <c r="G66" s="886">
        <v>500</v>
      </c>
      <c r="H66" s="886">
        <v>750</v>
      </c>
      <c r="I66" s="886">
        <v>1000</v>
      </c>
      <c r="J66" s="886">
        <v>1400</v>
      </c>
      <c r="K66" s="887">
        <v>2000</v>
      </c>
      <c r="Q66" s="902">
        <v>2500</v>
      </c>
      <c r="R66" s="903">
        <f t="shared" si="0"/>
        <v>7.48028232531908</v>
      </c>
      <c r="S66" s="903">
        <f t="shared" si="2"/>
        <v>7.6394372684109761</v>
      </c>
      <c r="T66" s="903">
        <f t="shared" si="2"/>
        <v>7.7985922115028705</v>
      </c>
      <c r="U66" s="903">
        <f t="shared" si="2"/>
        <v>7.9577471545947667</v>
      </c>
      <c r="V66" s="903">
        <f t="shared" si="2"/>
        <v>8.1169020976866619</v>
      </c>
      <c r="W66" s="903">
        <f t="shared" si="2"/>
        <v>8.2760570407785572</v>
      </c>
      <c r="X66" s="903">
        <f t="shared" si="2"/>
        <v>8.4352119838704525</v>
      </c>
      <c r="Y66" s="904">
        <f t="shared" si="2"/>
        <v>8.5943669269623477</v>
      </c>
      <c r="AE66" s="876"/>
      <c r="AG66" s="835" t="s">
        <v>13</v>
      </c>
      <c r="AH66" s="857">
        <v>99</v>
      </c>
      <c r="AI66" s="857">
        <v>124</v>
      </c>
      <c r="AJ66" s="857">
        <v>149</v>
      </c>
      <c r="AK66" s="857">
        <v>174</v>
      </c>
      <c r="AL66" s="857">
        <v>199</v>
      </c>
      <c r="AM66" s="857">
        <v>224</v>
      </c>
      <c r="AN66" s="857">
        <v>249</v>
      </c>
      <c r="AO66" s="857">
        <v>274</v>
      </c>
      <c r="AP66" s="857">
        <v>299</v>
      </c>
      <c r="AQ66" s="857">
        <v>324</v>
      </c>
      <c r="AR66" s="857">
        <v>40</v>
      </c>
      <c r="AS66" s="857">
        <v>700</v>
      </c>
      <c r="AT66" s="858">
        <v>500</v>
      </c>
    </row>
    <row r="67" spans="3:46">
      <c r="C67" s="1343" t="s">
        <v>103</v>
      </c>
      <c r="D67" s="1344"/>
      <c r="E67" s="1344"/>
      <c r="F67" s="1372">
        <v>2.5000000000000001E-2</v>
      </c>
      <c r="G67" s="1372"/>
      <c r="H67" s="1372"/>
      <c r="I67" s="1372"/>
      <c r="J67" s="1372"/>
      <c r="K67" s="1373"/>
      <c r="Q67" s="902">
        <v>3000</v>
      </c>
      <c r="R67" s="903">
        <f t="shared" si="0"/>
        <v>7.2946015583785355</v>
      </c>
      <c r="S67" s="903">
        <f t="shared" si="2"/>
        <v>7.4272306776217825</v>
      </c>
      <c r="T67" s="903">
        <f t="shared" si="2"/>
        <v>7.5598597968650285</v>
      </c>
      <c r="U67" s="903">
        <f t="shared" si="2"/>
        <v>7.6924889161082737</v>
      </c>
      <c r="V67" s="903">
        <f t="shared" si="2"/>
        <v>7.8251180353515206</v>
      </c>
      <c r="W67" s="903">
        <f t="shared" si="2"/>
        <v>7.9577471545947667</v>
      </c>
      <c r="X67" s="903">
        <f t="shared" si="2"/>
        <v>8.0903762738380127</v>
      </c>
      <c r="Y67" s="904">
        <f t="shared" si="2"/>
        <v>8.2230053930812588</v>
      </c>
      <c r="AE67" s="876"/>
      <c r="AG67" s="835" t="s">
        <v>118</v>
      </c>
      <c r="AH67" s="857">
        <v>98</v>
      </c>
      <c r="AI67" s="857">
        <v>123</v>
      </c>
      <c r="AJ67" s="857">
        <v>148</v>
      </c>
      <c r="AK67" s="857">
        <v>173</v>
      </c>
      <c r="AL67" s="857">
        <v>198</v>
      </c>
      <c r="AM67" s="857">
        <v>223</v>
      </c>
      <c r="AN67" s="857">
        <v>248</v>
      </c>
      <c r="AO67" s="857">
        <v>273</v>
      </c>
      <c r="AP67" s="857">
        <v>298</v>
      </c>
      <c r="AQ67" s="857">
        <v>323</v>
      </c>
      <c r="AR67" s="857">
        <v>40</v>
      </c>
      <c r="AS67" s="857">
        <v>700</v>
      </c>
      <c r="AT67" s="858">
        <v>450</v>
      </c>
    </row>
    <row r="68" spans="3:46" ht="12.75" thickBot="1">
      <c r="C68" s="1343" t="s">
        <v>104</v>
      </c>
      <c r="D68" s="1344"/>
      <c r="E68" s="1344"/>
      <c r="F68" s="1372">
        <v>0.06</v>
      </c>
      <c r="G68" s="1372"/>
      <c r="H68" s="1372"/>
      <c r="I68" s="1372"/>
      <c r="J68" s="1372"/>
      <c r="K68" s="1373"/>
      <c r="Q68" s="902">
        <v>3500</v>
      </c>
      <c r="R68" s="903">
        <f t="shared" si="0"/>
        <v>7.1619724391352904</v>
      </c>
      <c r="S68" s="903">
        <f t="shared" si="2"/>
        <v>7.2756545413437861</v>
      </c>
      <c r="T68" s="903">
        <f t="shared" si="2"/>
        <v>7.3893366435522827</v>
      </c>
      <c r="U68" s="903">
        <f t="shared" si="2"/>
        <v>7.5030187457607793</v>
      </c>
      <c r="V68" s="903">
        <f t="shared" si="2"/>
        <v>7.6167008479692768</v>
      </c>
      <c r="W68" s="903">
        <f t="shared" si="2"/>
        <v>7.7303829501777734</v>
      </c>
      <c r="X68" s="903">
        <f t="shared" si="2"/>
        <v>7.8440650523862692</v>
      </c>
      <c r="Y68" s="904">
        <f t="shared" si="2"/>
        <v>7.9577471545947667</v>
      </c>
      <c r="AG68" s="836" t="s">
        <v>119</v>
      </c>
      <c r="AH68" s="872">
        <v>86</v>
      </c>
      <c r="AI68" s="872">
        <v>111</v>
      </c>
      <c r="AJ68" s="872">
        <v>136</v>
      </c>
      <c r="AK68" s="872">
        <v>161</v>
      </c>
      <c r="AL68" s="872">
        <v>186</v>
      </c>
      <c r="AM68" s="872">
        <v>211</v>
      </c>
      <c r="AN68" s="872">
        <v>236</v>
      </c>
      <c r="AO68" s="872">
        <v>261</v>
      </c>
      <c r="AP68" s="872">
        <v>286</v>
      </c>
      <c r="AQ68" s="872">
        <v>311</v>
      </c>
      <c r="AR68" s="872">
        <v>25</v>
      </c>
      <c r="AS68" s="872">
        <v>350</v>
      </c>
      <c r="AT68" s="910">
        <v>200</v>
      </c>
    </row>
    <row r="69" spans="3:46" ht="12.75" thickBot="1">
      <c r="C69" s="1368" t="s">
        <v>337</v>
      </c>
      <c r="D69" s="1369"/>
      <c r="E69" s="1369"/>
      <c r="F69" s="896">
        <v>25</v>
      </c>
      <c r="G69" s="896">
        <v>35</v>
      </c>
      <c r="H69" s="896">
        <v>50</v>
      </c>
      <c r="I69" s="896">
        <v>70</v>
      </c>
      <c r="J69" s="896">
        <v>90</v>
      </c>
      <c r="K69" s="897">
        <v>115</v>
      </c>
      <c r="Q69" s="902">
        <v>4000</v>
      </c>
      <c r="R69" s="903">
        <f t="shared" si="0"/>
        <v>7.0625005997028554</v>
      </c>
      <c r="S69" s="903">
        <f t="shared" si="2"/>
        <v>7.1619724391352904</v>
      </c>
      <c r="T69" s="903">
        <f t="shared" si="2"/>
        <v>7.2614442785677253</v>
      </c>
      <c r="U69" s="903">
        <f t="shared" si="2"/>
        <v>7.3609161180001585</v>
      </c>
      <c r="V69" s="903">
        <f t="shared" si="2"/>
        <v>7.4603879574325926</v>
      </c>
      <c r="W69" s="903">
        <f t="shared" si="2"/>
        <v>7.5598597968650285</v>
      </c>
      <c r="X69" s="903">
        <f t="shared" si="2"/>
        <v>7.6593316362974635</v>
      </c>
      <c r="Y69" s="904">
        <f t="shared" si="2"/>
        <v>7.7588034757298976</v>
      </c>
    </row>
    <row r="70" spans="3:46" ht="12.75" thickBot="1">
      <c r="Q70" s="902">
        <v>4500</v>
      </c>
      <c r="R70" s="903">
        <f t="shared" si="0"/>
        <v>6.9851336134776281</v>
      </c>
      <c r="S70" s="903">
        <f t="shared" si="2"/>
        <v>7.0735530263064597</v>
      </c>
      <c r="T70" s="903">
        <f t="shared" si="2"/>
        <v>7.1619724391352904</v>
      </c>
      <c r="U70" s="903">
        <f t="shared" si="2"/>
        <v>7.2503918519641211</v>
      </c>
      <c r="V70" s="903">
        <f t="shared" si="2"/>
        <v>7.3388112647929509</v>
      </c>
      <c r="W70" s="903">
        <f t="shared" si="2"/>
        <v>7.4272306776217825</v>
      </c>
      <c r="X70" s="903">
        <f t="shared" si="2"/>
        <v>7.5156500904506132</v>
      </c>
      <c r="Y70" s="904">
        <f t="shared" si="2"/>
        <v>7.604069503279443</v>
      </c>
    </row>
    <row r="71" spans="3:46" ht="12.75" thickBot="1">
      <c r="C71" s="1361" t="s">
        <v>788</v>
      </c>
      <c r="D71" s="1362"/>
      <c r="E71" s="1362"/>
      <c r="F71" s="1362"/>
      <c r="G71" s="1362"/>
      <c r="H71" s="1362"/>
      <c r="I71" s="1362"/>
      <c r="J71" s="1362"/>
      <c r="K71" s="1363"/>
      <c r="Q71" s="911">
        <v>5000</v>
      </c>
      <c r="R71" s="912">
        <f t="shared" si="0"/>
        <v>6.9232400244974466</v>
      </c>
      <c r="S71" s="912">
        <f t="shared" si="2"/>
        <v>7.0028174960433951</v>
      </c>
      <c r="T71" s="912">
        <f t="shared" si="2"/>
        <v>7.0823949675893427</v>
      </c>
      <c r="U71" s="912">
        <f t="shared" si="2"/>
        <v>7.1619724391352904</v>
      </c>
      <c r="V71" s="912">
        <f t="shared" si="2"/>
        <v>7.241549910681238</v>
      </c>
      <c r="W71" s="912">
        <f t="shared" si="2"/>
        <v>7.3211273822271856</v>
      </c>
      <c r="X71" s="912">
        <f t="shared" si="2"/>
        <v>7.4007048537731324</v>
      </c>
      <c r="Y71" s="913">
        <f t="shared" si="2"/>
        <v>7.48028232531908</v>
      </c>
    </row>
    <row r="72" spans="3:46" ht="12.75" thickBot="1">
      <c r="C72" s="938" t="s">
        <v>786</v>
      </c>
      <c r="D72" s="941">
        <v>0.05</v>
      </c>
      <c r="E72" s="1374"/>
      <c r="F72" s="1374"/>
      <c r="G72" s="1374" t="s">
        <v>787</v>
      </c>
      <c r="H72" s="1374"/>
      <c r="I72" s="1374"/>
      <c r="J72" s="1374"/>
      <c r="K72" s="1375"/>
      <c r="Q72" s="914"/>
      <c r="R72" s="914"/>
      <c r="S72" s="914"/>
    </row>
    <row r="73" spans="3:46" ht="12.75" thickBot="1">
      <c r="C73" s="600" t="s">
        <v>72</v>
      </c>
      <c r="D73" s="885" t="s">
        <v>401</v>
      </c>
      <c r="E73" s="885" t="s">
        <v>402</v>
      </c>
      <c r="F73" s="885" t="s">
        <v>785</v>
      </c>
      <c r="G73" s="915">
        <v>6</v>
      </c>
      <c r="H73" s="915">
        <v>7</v>
      </c>
      <c r="I73" s="915">
        <v>8</v>
      </c>
      <c r="J73" s="915">
        <v>9</v>
      </c>
      <c r="K73" s="916">
        <v>10</v>
      </c>
      <c r="Q73" s="1352" t="s">
        <v>404</v>
      </c>
      <c r="R73" s="1353"/>
      <c r="S73" s="1353"/>
      <c r="T73" s="1353"/>
      <c r="U73" s="1353"/>
      <c r="V73" s="1353"/>
      <c r="W73" s="1354"/>
      <c r="X73" s="917"/>
      <c r="Y73" s="917"/>
      <c r="Z73" s="917"/>
      <c r="AA73" s="917"/>
    </row>
    <row r="74" spans="3:46">
      <c r="C74" s="600">
        <v>30</v>
      </c>
      <c r="D74" s="915">
        <v>250</v>
      </c>
      <c r="E74" s="915">
        <v>500</v>
      </c>
      <c r="F74" s="885">
        <v>25</v>
      </c>
      <c r="G74" s="918">
        <f t="shared" ref="G74:K79" si="3">$D74*SIN(ATAN($D$72))+$E74*SIN(ATAN($D$72))+(G$73-($D74+$E74)*(1-COS(ATAN($D$72))))/$D$72</f>
        <v>138.7382958755889</v>
      </c>
      <c r="H74" s="918">
        <f t="shared" si="3"/>
        <v>158.7382958755889</v>
      </c>
      <c r="I74" s="918">
        <f t="shared" si="3"/>
        <v>178.7382958755889</v>
      </c>
      <c r="J74" s="918">
        <f t="shared" si="3"/>
        <v>198.7382958755889</v>
      </c>
      <c r="K74" s="919">
        <f t="shared" si="3"/>
        <v>218.7382958755889</v>
      </c>
      <c r="Q74" s="831" t="s">
        <v>18</v>
      </c>
      <c r="R74" s="832" t="s">
        <v>403</v>
      </c>
      <c r="S74" s="832" t="s">
        <v>401</v>
      </c>
      <c r="T74" s="833" t="s">
        <v>402</v>
      </c>
      <c r="U74" s="834" t="s">
        <v>410</v>
      </c>
      <c r="V74" s="832" t="s">
        <v>405</v>
      </c>
      <c r="W74" s="833" t="s">
        <v>406</v>
      </c>
    </row>
    <row r="75" spans="3:46">
      <c r="C75" s="600">
        <v>40</v>
      </c>
      <c r="D75" s="915">
        <v>500</v>
      </c>
      <c r="E75" s="915">
        <v>1000</v>
      </c>
      <c r="F75" s="885">
        <v>45</v>
      </c>
      <c r="G75" s="918">
        <f t="shared" si="3"/>
        <v>157.47659175117781</v>
      </c>
      <c r="H75" s="918">
        <f t="shared" si="3"/>
        <v>177.47659175117781</v>
      </c>
      <c r="I75" s="918">
        <f t="shared" si="3"/>
        <v>197.47659175117781</v>
      </c>
      <c r="J75" s="918">
        <f t="shared" si="3"/>
        <v>217.47659175117778</v>
      </c>
      <c r="K75" s="919">
        <f t="shared" si="3"/>
        <v>237.47659175117778</v>
      </c>
      <c r="Q75" s="600">
        <v>80</v>
      </c>
      <c r="R75" s="955">
        <v>97</v>
      </c>
      <c r="S75" s="955">
        <v>2200</v>
      </c>
      <c r="T75" s="956">
        <v>2500</v>
      </c>
      <c r="U75" s="957">
        <v>470</v>
      </c>
      <c r="V75" s="955">
        <v>280</v>
      </c>
      <c r="W75" s="956">
        <v>1400</v>
      </c>
    </row>
    <row r="76" spans="3:46">
      <c r="C76" s="600">
        <v>50</v>
      </c>
      <c r="D76" s="915">
        <v>750</v>
      </c>
      <c r="E76" s="915">
        <v>1500</v>
      </c>
      <c r="F76" s="885">
        <v>75</v>
      </c>
      <c r="G76" s="918">
        <f t="shared" si="3"/>
        <v>176.21488762676665</v>
      </c>
      <c r="H76" s="918">
        <f t="shared" si="3"/>
        <v>196.21488762676665</v>
      </c>
      <c r="I76" s="918">
        <f t="shared" si="3"/>
        <v>216.21488762676665</v>
      </c>
      <c r="J76" s="918">
        <f t="shared" si="3"/>
        <v>236.21488762676665</v>
      </c>
      <c r="K76" s="919">
        <f t="shared" si="3"/>
        <v>256.21488762676665</v>
      </c>
      <c r="Q76" s="600">
        <v>90</v>
      </c>
      <c r="R76" s="955">
        <v>117</v>
      </c>
      <c r="S76" s="955">
        <v>2700</v>
      </c>
      <c r="T76" s="956">
        <v>3700</v>
      </c>
      <c r="U76" s="957">
        <v>670</v>
      </c>
      <c r="V76" s="955">
        <v>380</v>
      </c>
      <c r="W76" s="956">
        <v>1900</v>
      </c>
    </row>
    <row r="77" spans="3:46">
      <c r="C77" s="600">
        <v>60</v>
      </c>
      <c r="D77" s="915">
        <v>1000</v>
      </c>
      <c r="E77" s="915">
        <v>2000</v>
      </c>
      <c r="F77" s="885">
        <v>120</v>
      </c>
      <c r="G77" s="918">
        <f t="shared" si="3"/>
        <v>194.95318350235556</v>
      </c>
      <c r="H77" s="918">
        <f t="shared" si="3"/>
        <v>214.95318350235556</v>
      </c>
      <c r="I77" s="918">
        <f t="shared" si="3"/>
        <v>234.95318350235556</v>
      </c>
      <c r="J77" s="918">
        <f t="shared" si="3"/>
        <v>254.95318350235556</v>
      </c>
      <c r="K77" s="919">
        <f t="shared" si="3"/>
        <v>274.95318350235556</v>
      </c>
      <c r="Q77" s="600">
        <v>100</v>
      </c>
      <c r="R77" s="955">
        <v>139</v>
      </c>
      <c r="S77" s="955">
        <v>3300</v>
      </c>
      <c r="T77" s="956">
        <v>5200</v>
      </c>
      <c r="U77" s="957">
        <v>950</v>
      </c>
      <c r="V77" s="955">
        <v>500</v>
      </c>
      <c r="W77" s="956">
        <v>2500</v>
      </c>
    </row>
    <row r="78" spans="3:46">
      <c r="C78" s="600">
        <v>70</v>
      </c>
      <c r="D78" s="915">
        <v>1400</v>
      </c>
      <c r="E78" s="915">
        <v>2800</v>
      </c>
      <c r="F78" s="885">
        <v>180</v>
      </c>
      <c r="G78" s="918">
        <f t="shared" si="3"/>
        <v>224.93445690329781</v>
      </c>
      <c r="H78" s="918">
        <f t="shared" si="3"/>
        <v>244.93445690329781</v>
      </c>
      <c r="I78" s="918">
        <f t="shared" si="3"/>
        <v>264.93445690329781</v>
      </c>
      <c r="J78" s="918">
        <f t="shared" si="3"/>
        <v>284.93445690329781</v>
      </c>
      <c r="K78" s="919">
        <f t="shared" si="3"/>
        <v>304.93445690329781</v>
      </c>
      <c r="Q78" s="600">
        <v>110</v>
      </c>
      <c r="R78" s="955">
        <v>163</v>
      </c>
      <c r="S78" s="955">
        <v>4000</v>
      </c>
      <c r="T78" s="956">
        <v>7100</v>
      </c>
      <c r="U78" s="957">
        <v>1300</v>
      </c>
      <c r="V78" s="955">
        <v>620</v>
      </c>
      <c r="W78" s="956">
        <v>3100</v>
      </c>
    </row>
    <row r="79" spans="3:46" ht="12.75" thickBot="1">
      <c r="C79" s="877">
        <v>80</v>
      </c>
      <c r="D79" s="920">
        <v>2000</v>
      </c>
      <c r="E79" s="920">
        <v>4000</v>
      </c>
      <c r="F79" s="878">
        <v>250</v>
      </c>
      <c r="G79" s="921">
        <f t="shared" si="3"/>
        <v>269.90636700471111</v>
      </c>
      <c r="H79" s="921">
        <f t="shared" si="3"/>
        <v>289.90636700471111</v>
      </c>
      <c r="I79" s="921">
        <f t="shared" si="3"/>
        <v>309.90636700471111</v>
      </c>
      <c r="J79" s="921">
        <f t="shared" si="3"/>
        <v>329.90636700471111</v>
      </c>
      <c r="K79" s="922">
        <f t="shared" si="3"/>
        <v>349.90636700471111</v>
      </c>
      <c r="Q79" s="600">
        <v>120</v>
      </c>
      <c r="R79" s="955">
        <v>190</v>
      </c>
      <c r="S79" s="955">
        <v>4700</v>
      </c>
      <c r="T79" s="956">
        <v>9700</v>
      </c>
      <c r="U79" s="957">
        <v>1780</v>
      </c>
      <c r="V79" s="955">
        <v>760</v>
      </c>
      <c r="W79" s="956">
        <v>3800</v>
      </c>
      <c r="AE79" s="876"/>
    </row>
    <row r="80" spans="3:46" ht="12.75" thickBot="1">
      <c r="Q80" s="835">
        <v>130</v>
      </c>
      <c r="R80" s="955">
        <v>220</v>
      </c>
      <c r="S80" s="955">
        <v>5600</v>
      </c>
      <c r="T80" s="956">
        <v>13000</v>
      </c>
      <c r="U80" s="957">
        <v>2370</v>
      </c>
      <c r="V80" s="955">
        <v>920</v>
      </c>
      <c r="W80" s="956">
        <v>4600</v>
      </c>
    </row>
    <row r="81" spans="3:23" ht="13.5" customHeight="1" thickBot="1">
      <c r="C81" s="1323" t="s">
        <v>924</v>
      </c>
      <c r="D81" s="1324"/>
      <c r="E81" s="1324"/>
      <c r="F81" s="1324"/>
      <c r="G81" s="1324"/>
      <c r="H81" s="1324"/>
      <c r="I81" s="1324"/>
      <c r="J81" s="1324"/>
      <c r="K81" s="1325"/>
      <c r="Q81" s="836">
        <v>140</v>
      </c>
      <c r="R81" s="958">
        <v>250</v>
      </c>
      <c r="S81" s="958">
        <v>6500</v>
      </c>
      <c r="T81" s="959">
        <v>17000</v>
      </c>
      <c r="U81" s="960">
        <v>3070</v>
      </c>
      <c r="V81" s="958">
        <v>1100</v>
      </c>
      <c r="W81" s="959">
        <v>5500</v>
      </c>
    </row>
    <row r="82" spans="3:23" ht="12.75" customHeight="1">
      <c r="C82" s="942" t="s">
        <v>587</v>
      </c>
      <c r="D82" s="932" t="s">
        <v>921</v>
      </c>
      <c r="E82" s="932" t="s">
        <v>922</v>
      </c>
      <c r="F82" s="1326" t="s">
        <v>62</v>
      </c>
      <c r="G82" s="1326"/>
      <c r="H82" s="1326"/>
      <c r="I82" s="1326"/>
      <c r="J82" s="1326"/>
      <c r="K82" s="1327"/>
      <c r="Q82" s="831" t="s">
        <v>18</v>
      </c>
      <c r="R82" s="832" t="s">
        <v>178</v>
      </c>
      <c r="S82" s="832" t="s">
        <v>401</v>
      </c>
      <c r="T82" s="833" t="s">
        <v>402</v>
      </c>
      <c r="U82" s="834" t="s">
        <v>415</v>
      </c>
      <c r="V82" s="832" t="s">
        <v>407</v>
      </c>
      <c r="W82" s="833" t="s">
        <v>408</v>
      </c>
    </row>
    <row r="83" spans="3:23">
      <c r="C83" s="951" t="s">
        <v>282</v>
      </c>
      <c r="D83" s="952">
        <v>4.5</v>
      </c>
      <c r="E83" s="952">
        <v>7.5</v>
      </c>
      <c r="F83" s="1319" t="s">
        <v>523</v>
      </c>
      <c r="G83" s="1319"/>
      <c r="H83" s="1319"/>
      <c r="I83" s="1319"/>
      <c r="J83" s="1319"/>
      <c r="K83" s="1320"/>
      <c r="Q83" s="600">
        <v>80</v>
      </c>
      <c r="R83" s="955">
        <v>208</v>
      </c>
      <c r="S83" s="955">
        <v>5240</v>
      </c>
      <c r="T83" s="956">
        <v>11610</v>
      </c>
      <c r="U83" s="957">
        <v>1090</v>
      </c>
      <c r="V83" s="955">
        <v>90</v>
      </c>
      <c r="W83" s="956">
        <v>1760</v>
      </c>
    </row>
    <row r="84" spans="3:23">
      <c r="C84" s="951" t="s">
        <v>209</v>
      </c>
      <c r="D84" s="952">
        <v>3</v>
      </c>
      <c r="E84" s="952">
        <v>4.5</v>
      </c>
      <c r="F84" s="1319" t="s">
        <v>524</v>
      </c>
      <c r="G84" s="1319"/>
      <c r="H84" s="1319"/>
      <c r="I84" s="1319"/>
      <c r="J84" s="1319"/>
      <c r="K84" s="1320"/>
      <c r="Q84" s="600">
        <v>90</v>
      </c>
      <c r="R84" s="955">
        <v>234</v>
      </c>
      <c r="S84" s="955">
        <v>5980</v>
      </c>
      <c r="T84" s="956">
        <v>14700</v>
      </c>
      <c r="U84" s="957">
        <v>1370</v>
      </c>
      <c r="V84" s="955">
        <v>115</v>
      </c>
      <c r="W84" s="956">
        <v>1980</v>
      </c>
    </row>
    <row r="85" spans="3:23">
      <c r="C85" s="951" t="s">
        <v>244</v>
      </c>
      <c r="D85" s="952">
        <v>3</v>
      </c>
      <c r="E85" s="952">
        <v>3</v>
      </c>
      <c r="F85" s="1319" t="s">
        <v>525</v>
      </c>
      <c r="G85" s="1319"/>
      <c r="H85" s="1319"/>
      <c r="I85" s="1319"/>
      <c r="J85" s="1319"/>
      <c r="K85" s="1320"/>
      <c r="Q85" s="600">
        <v>100</v>
      </c>
      <c r="R85" s="955">
        <v>260</v>
      </c>
      <c r="S85" s="955">
        <v>6710</v>
      </c>
      <c r="T85" s="956">
        <v>18140</v>
      </c>
      <c r="U85" s="957">
        <v>1690</v>
      </c>
      <c r="V85" s="955">
        <v>150</v>
      </c>
      <c r="W85" s="956">
        <v>2200</v>
      </c>
    </row>
    <row r="86" spans="3:23">
      <c r="C86" s="951" t="s">
        <v>297</v>
      </c>
      <c r="D86" s="952">
        <v>4.5</v>
      </c>
      <c r="E86" s="952">
        <v>1.5</v>
      </c>
      <c r="F86" s="1319" t="s">
        <v>526</v>
      </c>
      <c r="G86" s="1319"/>
      <c r="H86" s="1319"/>
      <c r="I86" s="1319"/>
      <c r="J86" s="1319"/>
      <c r="K86" s="1320"/>
      <c r="Q86" s="600">
        <v>110</v>
      </c>
      <c r="R86" s="955">
        <v>286</v>
      </c>
      <c r="S86" s="955">
        <v>7450</v>
      </c>
      <c r="T86" s="956">
        <v>21950</v>
      </c>
      <c r="U86" s="957">
        <v>2050</v>
      </c>
      <c r="V86" s="955">
        <v>190</v>
      </c>
      <c r="W86" s="956">
        <v>2420</v>
      </c>
    </row>
    <row r="87" spans="3:23">
      <c r="C87" s="951" t="s">
        <v>398</v>
      </c>
      <c r="D87" s="952">
        <v>3</v>
      </c>
      <c r="E87" s="952">
        <v>3</v>
      </c>
      <c r="F87" s="1319" t="s">
        <v>527</v>
      </c>
      <c r="G87" s="1319"/>
      <c r="H87" s="1319"/>
      <c r="I87" s="1319"/>
      <c r="J87" s="1319"/>
      <c r="K87" s="1320"/>
      <c r="Q87" s="600">
        <v>120</v>
      </c>
      <c r="R87" s="955">
        <v>312</v>
      </c>
      <c r="S87" s="955">
        <v>8190</v>
      </c>
      <c r="T87" s="956">
        <v>26130</v>
      </c>
      <c r="U87" s="957">
        <v>2440</v>
      </c>
      <c r="V87" s="955">
        <v>250</v>
      </c>
      <c r="W87" s="956">
        <v>2640</v>
      </c>
    </row>
    <row r="88" spans="3:23">
      <c r="C88" s="951" t="s">
        <v>399</v>
      </c>
      <c r="D88" s="952">
        <v>1</v>
      </c>
      <c r="E88" s="952">
        <v>1</v>
      </c>
      <c r="F88" s="1319" t="s">
        <v>528</v>
      </c>
      <c r="G88" s="1319"/>
      <c r="H88" s="1319"/>
      <c r="I88" s="1319"/>
      <c r="J88" s="1319"/>
      <c r="K88" s="1320"/>
      <c r="Q88" s="835">
        <v>130</v>
      </c>
      <c r="R88" s="955">
        <v>338</v>
      </c>
      <c r="S88" s="955">
        <v>8930</v>
      </c>
      <c r="T88" s="956">
        <v>30660</v>
      </c>
      <c r="U88" s="957">
        <v>2860</v>
      </c>
      <c r="V88" s="955">
        <v>300</v>
      </c>
      <c r="W88" s="956">
        <v>2860</v>
      </c>
    </row>
    <row r="89" spans="3:23" ht="12.75" thickBot="1">
      <c r="C89" s="951" t="s">
        <v>362</v>
      </c>
      <c r="D89" s="952">
        <v>1</v>
      </c>
      <c r="E89" s="952">
        <v>1.5</v>
      </c>
      <c r="F89" s="1319" t="s">
        <v>529</v>
      </c>
      <c r="G89" s="1319"/>
      <c r="H89" s="1319"/>
      <c r="I89" s="1319"/>
      <c r="J89" s="1319"/>
      <c r="K89" s="1320"/>
      <c r="Q89" s="836">
        <v>140</v>
      </c>
      <c r="R89" s="958">
        <v>364</v>
      </c>
      <c r="S89" s="958">
        <v>9670</v>
      </c>
      <c r="T89" s="959">
        <v>35560</v>
      </c>
      <c r="U89" s="960">
        <v>3320</v>
      </c>
      <c r="V89" s="958">
        <v>360</v>
      </c>
      <c r="W89" s="959">
        <v>3080</v>
      </c>
    </row>
    <row r="90" spans="3:23" ht="12.75" thickBot="1">
      <c r="C90" s="953" t="s">
        <v>325</v>
      </c>
      <c r="D90" s="954">
        <v>4.5</v>
      </c>
      <c r="E90" s="954">
        <v>3</v>
      </c>
      <c r="F90" s="1321" t="s">
        <v>530</v>
      </c>
      <c r="G90" s="1321"/>
      <c r="H90" s="1321"/>
      <c r="I90" s="1321"/>
      <c r="J90" s="1321"/>
      <c r="K90" s="1322"/>
      <c r="Q90" s="831" t="s">
        <v>18</v>
      </c>
      <c r="R90" s="832" t="s">
        <v>179</v>
      </c>
      <c r="S90" s="832" t="s">
        <v>401</v>
      </c>
      <c r="T90" s="833" t="s">
        <v>402</v>
      </c>
      <c r="U90" s="834" t="s">
        <v>414</v>
      </c>
      <c r="V90" s="832" t="s">
        <v>409</v>
      </c>
      <c r="W90" s="833" t="s">
        <v>411</v>
      </c>
    </row>
    <row r="91" spans="3:23" ht="12.75" thickBot="1">
      <c r="Q91" s="600">
        <v>80</v>
      </c>
      <c r="R91" s="955">
        <v>440</v>
      </c>
      <c r="S91" s="955">
        <v>11840</v>
      </c>
      <c r="T91" s="956">
        <v>22000</v>
      </c>
      <c r="U91" s="957">
        <v>4850</v>
      </c>
      <c r="V91" s="955">
        <v>56</v>
      </c>
      <c r="W91" s="956">
        <v>420</v>
      </c>
    </row>
    <row r="92" spans="3:23" ht="12.75" thickBot="1">
      <c r="C92" s="1316" t="s">
        <v>923</v>
      </c>
      <c r="D92" s="1317"/>
      <c r="E92" s="1317"/>
      <c r="F92" s="1317"/>
      <c r="G92" s="1317"/>
      <c r="H92" s="1317"/>
      <c r="I92" s="1318"/>
      <c r="Q92" s="600">
        <v>90</v>
      </c>
      <c r="R92" s="955">
        <v>495</v>
      </c>
      <c r="S92" s="955">
        <v>13410</v>
      </c>
      <c r="T92" s="956">
        <v>27850</v>
      </c>
      <c r="U92" s="957">
        <v>6150</v>
      </c>
      <c r="V92" s="955">
        <v>63</v>
      </c>
      <c r="W92" s="956">
        <v>500</v>
      </c>
    </row>
    <row r="93" spans="3:23" ht="12.75" customHeight="1">
      <c r="C93" s="1311"/>
      <c r="D93" s="1312"/>
      <c r="E93" s="1313"/>
      <c r="F93" s="1307" t="s">
        <v>925</v>
      </c>
      <c r="G93" s="1307"/>
      <c r="H93" s="1307" t="s">
        <v>926</v>
      </c>
      <c r="I93" s="1315"/>
      <c r="Q93" s="600">
        <v>100</v>
      </c>
      <c r="R93" s="955">
        <v>550</v>
      </c>
      <c r="S93" s="955">
        <v>15000</v>
      </c>
      <c r="T93" s="956">
        <v>34400</v>
      </c>
      <c r="U93" s="957">
        <v>7600</v>
      </c>
      <c r="V93" s="955">
        <v>70</v>
      </c>
      <c r="W93" s="956">
        <v>560</v>
      </c>
    </row>
    <row r="94" spans="3:23">
      <c r="C94" s="1308" t="s">
        <v>30</v>
      </c>
      <c r="D94" s="1309"/>
      <c r="E94" s="1310"/>
      <c r="F94" s="943" t="s">
        <v>886</v>
      </c>
      <c r="G94" s="943" t="s">
        <v>887</v>
      </c>
      <c r="H94" s="943" t="s">
        <v>886</v>
      </c>
      <c r="I94" s="944" t="s">
        <v>887</v>
      </c>
      <c r="Q94" s="600">
        <v>110</v>
      </c>
      <c r="R94" s="955">
        <v>605</v>
      </c>
      <c r="S94" s="955">
        <v>16550</v>
      </c>
      <c r="T94" s="956">
        <v>41600</v>
      </c>
      <c r="U94" s="957">
        <v>9200</v>
      </c>
      <c r="V94" s="955">
        <v>77</v>
      </c>
      <c r="W94" s="956">
        <v>640</v>
      </c>
    </row>
    <row r="95" spans="3:23">
      <c r="C95" s="945" t="s">
        <v>6</v>
      </c>
      <c r="D95" s="1314" t="s">
        <v>383</v>
      </c>
      <c r="E95" s="1314"/>
      <c r="F95" s="946">
        <v>60</v>
      </c>
      <c r="G95" s="946">
        <v>30</v>
      </c>
      <c r="H95" s="946">
        <v>30</v>
      </c>
      <c r="I95" s="947">
        <v>30</v>
      </c>
      <c r="Q95" s="600">
        <v>120</v>
      </c>
      <c r="R95" s="955">
        <v>660</v>
      </c>
      <c r="S95" s="955">
        <v>18130</v>
      </c>
      <c r="T95" s="956">
        <v>49500</v>
      </c>
      <c r="U95" s="957">
        <v>10900</v>
      </c>
      <c r="V95" s="955">
        <v>84</v>
      </c>
      <c r="W95" s="956">
        <v>720</v>
      </c>
    </row>
    <row r="96" spans="3:23" ht="12" customHeight="1">
      <c r="C96" s="945" t="s">
        <v>8</v>
      </c>
      <c r="D96" s="1305" t="s">
        <v>882</v>
      </c>
      <c r="E96" s="1305"/>
      <c r="F96" s="946">
        <v>40</v>
      </c>
      <c r="G96" s="946">
        <v>20</v>
      </c>
      <c r="H96" s="946"/>
      <c r="I96" s="947"/>
      <c r="Q96" s="835">
        <v>130</v>
      </c>
      <c r="R96" s="955">
        <v>715</v>
      </c>
      <c r="S96" s="955">
        <v>19700</v>
      </c>
      <c r="T96" s="956">
        <v>58100</v>
      </c>
      <c r="U96" s="957">
        <v>12800</v>
      </c>
      <c r="V96" s="955">
        <v>91</v>
      </c>
      <c r="W96" s="956">
        <v>800</v>
      </c>
    </row>
    <row r="97" spans="3:23" ht="12.75" customHeight="1" thickBot="1">
      <c r="C97" s="945" t="s">
        <v>9</v>
      </c>
      <c r="D97" s="1305" t="s">
        <v>883</v>
      </c>
      <c r="E97" s="1305"/>
      <c r="F97" s="946">
        <v>30</v>
      </c>
      <c r="G97" s="946">
        <v>10</v>
      </c>
      <c r="H97" s="946"/>
      <c r="I97" s="947"/>
      <c r="Q97" s="836">
        <v>140</v>
      </c>
      <c r="R97" s="958">
        <v>770</v>
      </c>
      <c r="S97" s="958">
        <v>21270</v>
      </c>
      <c r="T97" s="959">
        <v>67380</v>
      </c>
      <c r="U97" s="960">
        <v>14850</v>
      </c>
      <c r="V97" s="958">
        <v>98</v>
      </c>
      <c r="W97" s="959">
        <v>860</v>
      </c>
    </row>
    <row r="98" spans="3:23" ht="12" customHeight="1">
      <c r="C98" s="945" t="s">
        <v>12</v>
      </c>
      <c r="D98" s="1305" t="s">
        <v>884</v>
      </c>
      <c r="E98" s="1305"/>
      <c r="F98" s="946"/>
      <c r="G98" s="946"/>
      <c r="H98" s="946">
        <v>20</v>
      </c>
      <c r="I98" s="947">
        <v>20</v>
      </c>
    </row>
    <row r="99" spans="3:23" ht="12" customHeight="1">
      <c r="C99" s="945" t="s">
        <v>13</v>
      </c>
      <c r="D99" s="1305" t="s">
        <v>885</v>
      </c>
      <c r="E99" s="1305"/>
      <c r="F99" s="946"/>
      <c r="G99" s="946"/>
      <c r="H99" s="946">
        <v>20</v>
      </c>
      <c r="I99" s="947" t="s">
        <v>384</v>
      </c>
    </row>
    <row r="100" spans="3:23">
      <c r="C100" s="945" t="s">
        <v>14</v>
      </c>
      <c r="D100" s="1305" t="s">
        <v>385</v>
      </c>
      <c r="E100" s="1305"/>
      <c r="F100" s="946">
        <v>20</v>
      </c>
      <c r="G100" s="946"/>
      <c r="H100" s="946">
        <v>10</v>
      </c>
      <c r="I100" s="947" t="s">
        <v>384</v>
      </c>
    </row>
    <row r="101" spans="3:23" ht="12" customHeight="1" thickBot="1">
      <c r="C101" s="948" t="s">
        <v>14</v>
      </c>
      <c r="D101" s="1306" t="s">
        <v>386</v>
      </c>
      <c r="E101" s="1306"/>
      <c r="F101" s="949">
        <v>10</v>
      </c>
      <c r="G101" s="949"/>
      <c r="H101" s="949"/>
      <c r="I101" s="950" t="s">
        <v>384</v>
      </c>
    </row>
    <row r="119" spans="12:15" ht="60.75" customHeight="1">
      <c r="L119" s="1345"/>
      <c r="M119" s="1345"/>
      <c r="N119" s="1345"/>
      <c r="O119" s="1345"/>
    </row>
    <row r="120" spans="12:15">
      <c r="L120" s="844"/>
      <c r="M120" s="844"/>
      <c r="N120" s="844"/>
      <c r="O120" s="914"/>
    </row>
    <row r="121" spans="12:15">
      <c r="L121" s="914"/>
      <c r="M121" s="923"/>
      <c r="N121" s="923"/>
      <c r="O121" s="923"/>
    </row>
    <row r="122" spans="12:15">
      <c r="L122" s="914"/>
      <c r="M122" s="923"/>
      <c r="N122" s="923"/>
      <c r="O122" s="923"/>
    </row>
    <row r="123" spans="12:15">
      <c r="L123" s="914"/>
      <c r="M123" s="923"/>
      <c r="N123" s="923"/>
      <c r="O123" s="923"/>
    </row>
    <row r="124" spans="12:15">
      <c r="L124" s="914"/>
      <c r="M124" s="923"/>
      <c r="N124" s="923"/>
      <c r="O124" s="923"/>
    </row>
    <row r="125" spans="12:15">
      <c r="L125" s="914"/>
      <c r="M125" s="923"/>
      <c r="N125" s="923"/>
      <c r="O125" s="923"/>
    </row>
    <row r="126" spans="12:15">
      <c r="L126" s="914"/>
      <c r="M126" s="923"/>
      <c r="N126" s="923"/>
      <c r="O126" s="923"/>
    </row>
    <row r="127" spans="12:15">
      <c r="L127" s="914"/>
      <c r="M127" s="923"/>
      <c r="N127" s="923"/>
      <c r="O127" s="923"/>
    </row>
    <row r="128" spans="12:15">
      <c r="L128" s="914"/>
      <c r="M128" s="923"/>
      <c r="N128" s="923"/>
      <c r="O128" s="923"/>
    </row>
    <row r="177" ht="13.5" customHeight="1"/>
    <row r="201" spans="3:3">
      <c r="C201" s="924"/>
    </row>
    <row r="202" spans="3:3">
      <c r="C202" s="924"/>
    </row>
    <row r="203" spans="3:3">
      <c r="C203" s="924"/>
    </row>
    <row r="204" spans="3:3">
      <c r="C204" s="924"/>
    </row>
    <row r="205" spans="3:3">
      <c r="C205" s="924"/>
    </row>
    <row r="206" spans="3:3">
      <c r="C206" s="924"/>
    </row>
    <row r="207" spans="3:3">
      <c r="C207" s="924"/>
    </row>
    <row r="208" spans="3:3">
      <c r="C208" s="924"/>
    </row>
    <row r="209" spans="3:3">
      <c r="C209" s="924"/>
    </row>
    <row r="210" spans="3:3">
      <c r="C210" s="924"/>
    </row>
    <row r="211" spans="3:3">
      <c r="C211" s="924"/>
    </row>
    <row r="212" spans="3:3">
      <c r="C212" s="924"/>
    </row>
  </sheetData>
  <mergeCells count="79">
    <mergeCell ref="H63:K63"/>
    <mergeCell ref="H64:K64"/>
    <mergeCell ref="F67:K67"/>
    <mergeCell ref="C71:K71"/>
    <mergeCell ref="G72:K72"/>
    <mergeCell ref="E72:F72"/>
    <mergeCell ref="C68:E68"/>
    <mergeCell ref="C69:E69"/>
    <mergeCell ref="F68:K68"/>
    <mergeCell ref="I56:K56"/>
    <mergeCell ref="C60:K60"/>
    <mergeCell ref="C66:E66"/>
    <mergeCell ref="C67:E67"/>
    <mergeCell ref="C63:E63"/>
    <mergeCell ref="C61:E61"/>
    <mergeCell ref="C62:E62"/>
    <mergeCell ref="I57:K57"/>
    <mergeCell ref="I58:K58"/>
    <mergeCell ref="C56:E57"/>
    <mergeCell ref="C58:E58"/>
    <mergeCell ref="F56:H56"/>
    <mergeCell ref="F57:H57"/>
    <mergeCell ref="F58:H58"/>
    <mergeCell ref="F63:G63"/>
    <mergeCell ref="F64:G64"/>
    <mergeCell ref="I52:K53"/>
    <mergeCell ref="I54:K54"/>
    <mergeCell ref="C51:K51"/>
    <mergeCell ref="C54:E54"/>
    <mergeCell ref="C55:E55"/>
    <mergeCell ref="C52:E53"/>
    <mergeCell ref="F52:H53"/>
    <mergeCell ref="F54:H54"/>
    <mergeCell ref="F55:H55"/>
    <mergeCell ref="I55:K55"/>
    <mergeCell ref="L119:O119"/>
    <mergeCell ref="AG26:AL26"/>
    <mergeCell ref="AG60:AT60"/>
    <mergeCell ref="AG50:AT50"/>
    <mergeCell ref="AM26:AQ26"/>
    <mergeCell ref="Q43:Y43"/>
    <mergeCell ref="Q34:X34"/>
    <mergeCell ref="Q73:W73"/>
    <mergeCell ref="C81:K81"/>
    <mergeCell ref="F82:K82"/>
    <mergeCell ref="AG15:AT15"/>
    <mergeCell ref="Q15:AA15"/>
    <mergeCell ref="C3:O3"/>
    <mergeCell ref="Q3:AD3"/>
    <mergeCell ref="C5:K5"/>
    <mergeCell ref="AG5:AT5"/>
    <mergeCell ref="AG3:AT3"/>
    <mergeCell ref="M5:O8"/>
    <mergeCell ref="Q5:AD5"/>
    <mergeCell ref="C22:O22"/>
    <mergeCell ref="AG25:AQ25"/>
    <mergeCell ref="C64:E64"/>
    <mergeCell ref="C65:E65"/>
    <mergeCell ref="Q25:X25"/>
    <mergeCell ref="H93:I93"/>
    <mergeCell ref="C92:I92"/>
    <mergeCell ref="F83:K83"/>
    <mergeCell ref="F84:K84"/>
    <mergeCell ref="F85:K85"/>
    <mergeCell ref="F86:K86"/>
    <mergeCell ref="F87:K87"/>
    <mergeCell ref="F88:K88"/>
    <mergeCell ref="F89:K89"/>
    <mergeCell ref="F90:K90"/>
    <mergeCell ref="D98:E98"/>
    <mergeCell ref="D99:E99"/>
    <mergeCell ref="D100:E100"/>
    <mergeCell ref="D101:E101"/>
    <mergeCell ref="F93:G93"/>
    <mergeCell ref="C94:E94"/>
    <mergeCell ref="C93:E93"/>
    <mergeCell ref="D95:E95"/>
    <mergeCell ref="D96:E96"/>
    <mergeCell ref="D97:E97"/>
  </mergeCells>
  <phoneticPr fontId="0" type="noConversion"/>
  <printOptions horizontalCentered="1" verticalCentered="1"/>
  <pageMargins left="0.39370078740157483" right="0.47244094488188981" top="0.6692913385826772" bottom="0.74803149606299213" header="0.51181102362204722" footer="0.51181102362204722"/>
  <pageSetup paperSize="9" scale="110" orientation="landscape" r:id="rId1"/>
  <headerFooter alignWithMargins="0">
    <oddHeader>&amp;L&amp;A&amp;R&amp;D</oddHeader>
    <oddFooter>&amp;L&amp;F&amp;R&amp;P di &amp;N</oddFooter>
  </headerFooter>
  <colBreaks count="2" manualBreakCount="2">
    <brk id="15" min="2" max="70" man="1"/>
    <brk id="31" min="2" max="70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6"/>
  <dimension ref="B1:G22"/>
  <sheetViews>
    <sheetView workbookViewId="0">
      <selection activeCell="G15" sqref="G15"/>
    </sheetView>
  </sheetViews>
  <sheetFormatPr defaultRowHeight="12.75"/>
  <cols>
    <col min="1" max="2" width="3.42578125" style="181" customWidth="1"/>
    <col min="3" max="7" width="20" style="181" customWidth="1"/>
    <col min="8" max="16384" width="9.140625" style="181"/>
  </cols>
  <sheetData>
    <row r="1" spans="2:7" ht="13.5" thickBot="1">
      <c r="C1" s="803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3" spans="2:7" ht="13.5" thickBot="1"/>
    <row r="4" spans="2:7" ht="36.75" thickBot="1">
      <c r="C4" s="929" t="s">
        <v>274</v>
      </c>
      <c r="D4" s="930" t="s">
        <v>275</v>
      </c>
      <c r="E4" s="931" t="s">
        <v>276</v>
      </c>
    </row>
    <row r="6" spans="2:7">
      <c r="B6" s="607" t="s">
        <v>106</v>
      </c>
      <c r="C6" s="925">
        <v>3</v>
      </c>
      <c r="D6" s="926">
        <v>19</v>
      </c>
      <c r="E6" s="927">
        <f>1*3</f>
        <v>3</v>
      </c>
    </row>
    <row r="7" spans="2:7">
      <c r="B7" s="607" t="s">
        <v>72</v>
      </c>
      <c r="C7" s="925">
        <v>2</v>
      </c>
      <c r="D7" s="928"/>
      <c r="E7" s="277">
        <f>C7/C6*COS(D6/180*PI())*3</f>
        <v>1.8910371511986337</v>
      </c>
    </row>
    <row r="11" spans="2:7">
      <c r="D11" s="193"/>
    </row>
    <row r="12" spans="2:7">
      <c r="D12" s="193"/>
    </row>
    <row r="13" spans="2:7">
      <c r="D13" s="193"/>
    </row>
    <row r="14" spans="2:7">
      <c r="D14" s="193"/>
    </row>
    <row r="15" spans="2:7">
      <c r="D15" s="193"/>
    </row>
    <row r="16" spans="2:7">
      <c r="D16" s="193"/>
    </row>
    <row r="17" spans="4:4">
      <c r="D17" s="193"/>
    </row>
    <row r="18" spans="4:4">
      <c r="D18" s="193"/>
    </row>
    <row r="19" spans="4:4">
      <c r="D19" s="193"/>
    </row>
    <row r="20" spans="4:4">
      <c r="D20" s="193"/>
    </row>
    <row r="21" spans="4:4">
      <c r="D21" s="193"/>
    </row>
    <row r="22" spans="4:4">
      <c r="D22" s="193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7"/>
  <dimension ref="A1:N1019"/>
  <sheetViews>
    <sheetView workbookViewId="0">
      <selection activeCell="X45" sqref="X45"/>
    </sheetView>
  </sheetViews>
  <sheetFormatPr defaultRowHeight="12.75"/>
  <cols>
    <col min="2" max="4" width="9.7109375" customWidth="1"/>
    <col min="13" max="14" width="10.28515625" customWidth="1"/>
    <col min="20" max="20" width="10.42578125" customWidth="1"/>
  </cols>
  <sheetData>
    <row r="1" spans="1:14">
      <c r="A1" s="15" t="s">
        <v>311</v>
      </c>
      <c r="B1" s="16"/>
      <c r="C1" s="17"/>
    </row>
    <row r="3" spans="1:14">
      <c r="A3" s="1"/>
      <c r="B3" s="1" t="s">
        <v>312</v>
      </c>
      <c r="C3" s="1" t="s">
        <v>313</v>
      </c>
      <c r="G3" s="18" t="s">
        <v>314</v>
      </c>
      <c r="H3" s="10">
        <f>C5-C4</f>
        <v>-0.50800000000000267</v>
      </c>
      <c r="J3" s="11"/>
      <c r="K3" s="19" t="s">
        <v>315</v>
      </c>
      <c r="L3" s="19" t="s">
        <v>316</v>
      </c>
      <c r="M3" s="19" t="s">
        <v>317</v>
      </c>
    </row>
    <row r="4" spans="1:14">
      <c r="A4" s="1" t="s">
        <v>6</v>
      </c>
      <c r="B4" s="20">
        <v>0</v>
      </c>
      <c r="C4" s="20">
        <v>47.939</v>
      </c>
      <c r="D4" s="21" t="s">
        <v>318</v>
      </c>
      <c r="G4" s="18" t="s">
        <v>319</v>
      </c>
      <c r="H4" s="10">
        <f>2*PI()/$B$7*B5</f>
        <v>1.5461716814171884</v>
      </c>
      <c r="J4" s="22" t="s">
        <v>320</v>
      </c>
      <c r="K4" s="38">
        <f>D1014</f>
        <v>1.5959290680236262</v>
      </c>
      <c r="L4" s="23">
        <f>K4+PI()</f>
        <v>4.7375217216134189</v>
      </c>
      <c r="M4" s="24">
        <f>IF(C5&gt;C4,L4,K4)</f>
        <v>1.5959290680236262</v>
      </c>
    </row>
    <row r="5" spans="1:14">
      <c r="A5" s="1" t="s">
        <v>8</v>
      </c>
      <c r="B5" s="20">
        <v>38.646999999999998</v>
      </c>
      <c r="C5" s="20">
        <v>47.430999999999997</v>
      </c>
      <c r="G5" s="18" t="s">
        <v>321</v>
      </c>
      <c r="H5" s="10">
        <f>2*PI()/$B$7*B6</f>
        <v>3.0923433628343768</v>
      </c>
      <c r="J5" s="25" t="s">
        <v>6</v>
      </c>
      <c r="K5" s="26">
        <f>ABS(H3/(SIN(H4+K4)-SIN(K4)))</f>
        <v>0.50790233794183326</v>
      </c>
      <c r="L5" s="26">
        <f>K5</f>
        <v>0.50790233794183326</v>
      </c>
      <c r="M5" s="24">
        <f>IF(C5&gt;C4,L5,K5)</f>
        <v>0.50790233794183326</v>
      </c>
    </row>
    <row r="6" spans="1:14">
      <c r="A6" s="1" t="s">
        <v>9</v>
      </c>
      <c r="B6" s="20">
        <v>77.293999999999997</v>
      </c>
      <c r="C6" s="20">
        <v>46.923000000000002</v>
      </c>
      <c r="G6" s="18" t="s">
        <v>322</v>
      </c>
      <c r="H6" s="10">
        <f>C5-C6</f>
        <v>0.50799999999999557</v>
      </c>
      <c r="J6" s="25" t="s">
        <v>106</v>
      </c>
      <c r="K6" s="26">
        <f>C4-K5*SIN(K4)</f>
        <v>47.431258063059524</v>
      </c>
      <c r="L6" s="26">
        <f>C4-L5*SIN(L4)</f>
        <v>48.446741936940477</v>
      </c>
      <c r="M6" s="24">
        <f>IF(C5&gt;C4,L6,K6)</f>
        <v>47.431258063059524</v>
      </c>
    </row>
    <row r="7" spans="1:14">
      <c r="A7" s="1" t="s">
        <v>323</v>
      </c>
      <c r="B7" s="20">
        <v>157.05000000000001</v>
      </c>
      <c r="C7" s="20">
        <v>47.939</v>
      </c>
      <c r="D7" s="21" t="s">
        <v>324</v>
      </c>
      <c r="G7" s="27" t="s">
        <v>325</v>
      </c>
      <c r="H7" s="28">
        <f>M5*(SIN(PI()/2)-SIN(3/4*PI()))</f>
        <v>0.14876115060266143</v>
      </c>
      <c r="J7" s="32" t="s">
        <v>180</v>
      </c>
      <c r="K7" s="33">
        <f>CEILING(H7/2+B7^2/128/H7,20)</f>
        <v>1300</v>
      </c>
      <c r="L7" s="32" t="s">
        <v>283</v>
      </c>
      <c r="M7" s="34">
        <f>TAN(ATAN((B7/4)/(K7-M5))-ACOS(K7/SQRT((B7/4)^2+(K7-M5)^2)))</f>
        <v>1.8765186691641022E-2</v>
      </c>
    </row>
    <row r="8" spans="1:14">
      <c r="G8" s="27" t="s">
        <v>331</v>
      </c>
      <c r="H8">
        <f>2*PI()/B7</f>
        <v>4.0007547323652248E-2</v>
      </c>
      <c r="J8" s="35" t="str">
        <f>"y="&amp;TEXT(M5,"0,0000")&amp;"sin("&amp;TEXT(H8,"0,0000")&amp;"x+"&amp;TEXT(M4,"0,0000")&amp;")+"&amp;TEXT(M6,"0,0000")</f>
        <v>y=0,5079sin(0,0400x+1,5959)+47,4313</v>
      </c>
      <c r="K8" s="36"/>
      <c r="L8" s="36"/>
      <c r="M8" s="37"/>
    </row>
    <row r="9" spans="1:14">
      <c r="A9" s="29" t="s">
        <v>326</v>
      </c>
      <c r="B9" s="16"/>
      <c r="C9" s="17"/>
      <c r="J9" s="29" t="str">
        <f>"(+ "&amp;TEXT(M6,"0,0000")&amp;" (* "&amp;TEXT(M5,"0,0000")&amp;" (sin (+ "&amp;TEXT(M4,"0,0000")&amp;" (* "&amp;TEXT(H8,"0,0000")&amp;" x)))))"</f>
        <v>(+ 47,4313 (* 0,5079 (sin (+ 1,5959 (* 0,0400 x)))))</v>
      </c>
      <c r="K9" s="16"/>
      <c r="L9" s="16"/>
      <c r="M9" s="16"/>
      <c r="N9" s="17"/>
    </row>
    <row r="11" spans="1:14">
      <c r="A11" t="s">
        <v>327</v>
      </c>
      <c r="E11" t="s">
        <v>328</v>
      </c>
    </row>
    <row r="12" spans="1:14">
      <c r="A12" t="s">
        <v>329</v>
      </c>
      <c r="B12" t="s">
        <v>330</v>
      </c>
      <c r="E12" t="s">
        <v>329</v>
      </c>
      <c r="F12" t="s">
        <v>330</v>
      </c>
    </row>
    <row r="13" spans="1:14">
      <c r="A13" s="30">
        <v>0</v>
      </c>
      <c r="B13">
        <f t="shared" ref="B13:B76" si="0">$H$3*(SIN($H$4+A13)-SIN($H$5+A13))/(SIN($H$4+A13)-SIN(A13))-$H$6</f>
        <v>-0.99098388865819143</v>
      </c>
      <c r="C13" s="30">
        <f>ABS(B13)</f>
        <v>0.99098388865819143</v>
      </c>
      <c r="D13" s="30">
        <f>A13</f>
        <v>0</v>
      </c>
      <c r="E13" s="30">
        <v>0</v>
      </c>
      <c r="F13" s="30">
        <f t="shared" ref="F13:F76" si="1">$M$5*SIN(2*PI()/$B$7*E13+$M$4)+$M$6</f>
        <v>47.939</v>
      </c>
    </row>
    <row r="14" spans="1:14">
      <c r="A14" s="30">
        <f>A13+PI()/1000</f>
        <v>3.1415926535897933E-3</v>
      </c>
      <c r="B14">
        <f t="shared" si="0"/>
        <v>-0.99410768574546604</v>
      </c>
      <c r="C14" s="30">
        <f t="shared" ref="C14:C77" si="2">ABS(B14)</f>
        <v>0.99410768574546604</v>
      </c>
      <c r="D14" s="30">
        <f t="shared" ref="D14:D77" si="3">A14</f>
        <v>3.1415926535897933E-3</v>
      </c>
      <c r="E14" s="30">
        <f>E13+$B$7/1000</f>
        <v>0.15705000000000002</v>
      </c>
      <c r="F14" s="30">
        <f t="shared" si="1"/>
        <v>47.938909781857475</v>
      </c>
    </row>
    <row r="15" spans="1:14">
      <c r="A15" s="30">
        <f t="shared" ref="A15:A78" si="4">A14+PI()/1000</f>
        <v>6.2831853071795866E-3</v>
      </c>
      <c r="B15">
        <f t="shared" si="0"/>
        <v>-0.99725081318303999</v>
      </c>
      <c r="C15" s="30">
        <f t="shared" si="2"/>
        <v>0.99725081318303999</v>
      </c>
      <c r="D15" s="30">
        <f t="shared" si="3"/>
        <v>6.2831853071795866E-3</v>
      </c>
      <c r="E15" s="30">
        <f t="shared" ref="E15:E78" si="5">E14+$B$7/1000</f>
        <v>0.31410000000000005</v>
      </c>
      <c r="F15" s="30">
        <f t="shared" si="1"/>
        <v>47.938799522494342</v>
      </c>
    </row>
    <row r="16" spans="1:14">
      <c r="A16" s="30">
        <f t="shared" si="4"/>
        <v>9.4247779607693795E-3</v>
      </c>
      <c r="B16">
        <f t="shared" si="0"/>
        <v>-1.0004135135775871</v>
      </c>
      <c r="C16" s="30">
        <f t="shared" si="2"/>
        <v>1.0004135135775871</v>
      </c>
      <c r="D16" s="30">
        <f t="shared" si="3"/>
        <v>9.4247779607693795E-3</v>
      </c>
      <c r="E16" s="30">
        <f t="shared" si="5"/>
        <v>0.47115000000000007</v>
      </c>
      <c r="F16" s="30">
        <f t="shared" si="1"/>
        <v>47.938669226263436</v>
      </c>
    </row>
    <row r="17" spans="1:6">
      <c r="A17" s="30">
        <f t="shared" si="4"/>
        <v>1.2566370614359173E-2</v>
      </c>
      <c r="B17">
        <f t="shared" si="0"/>
        <v>-1.0035960333443303</v>
      </c>
      <c r="C17" s="30">
        <f t="shared" si="2"/>
        <v>1.0035960333443303</v>
      </c>
      <c r="D17" s="30">
        <f t="shared" si="3"/>
        <v>1.2566370614359173E-2</v>
      </c>
      <c r="E17" s="30">
        <f t="shared" si="5"/>
        <v>0.62820000000000009</v>
      </c>
      <c r="F17" s="30">
        <f t="shared" si="1"/>
        <v>47.938518898308629</v>
      </c>
    </row>
    <row r="18" spans="1:6">
      <c r="A18" s="30">
        <f t="shared" si="4"/>
        <v>1.5707963267948967E-2</v>
      </c>
      <c r="B18">
        <f t="shared" si="0"/>
        <v>-1.0067986227839694</v>
      </c>
      <c r="C18" s="30">
        <f t="shared" si="2"/>
        <v>1.0067986227839694</v>
      </c>
      <c r="D18" s="30">
        <f t="shared" si="3"/>
        <v>1.5707963267948967E-2</v>
      </c>
      <c r="E18" s="30">
        <f t="shared" si="5"/>
        <v>0.78525000000000011</v>
      </c>
      <c r="F18" s="30">
        <f t="shared" si="1"/>
        <v>47.938348544564619</v>
      </c>
    </row>
    <row r="19" spans="1:6">
      <c r="A19" s="30">
        <f t="shared" si="4"/>
        <v>1.8849555921538759E-2</v>
      </c>
      <c r="B19">
        <f t="shared" si="0"/>
        <v>-1.0100215361614691</v>
      </c>
      <c r="C19" s="30">
        <f t="shared" si="2"/>
        <v>1.0100215361614691</v>
      </c>
      <c r="D19" s="30">
        <f t="shared" si="3"/>
        <v>1.8849555921538759E-2</v>
      </c>
      <c r="E19" s="30">
        <f t="shared" si="5"/>
        <v>0.94230000000000014</v>
      </c>
      <c r="F19" s="30">
        <f t="shared" si="1"/>
        <v>47.938158171756683</v>
      </c>
    </row>
    <row r="20" spans="1:6">
      <c r="A20" s="30">
        <f t="shared" si="4"/>
        <v>2.1991148575128551E-2</v>
      </c>
      <c r="B20">
        <f t="shared" si="0"/>
        <v>-1.0132650317867562</v>
      </c>
      <c r="C20" s="30">
        <f t="shared" si="2"/>
        <v>1.0132650317867562</v>
      </c>
      <c r="D20" s="30">
        <f t="shared" si="3"/>
        <v>2.1991148575128551E-2</v>
      </c>
      <c r="E20" s="30">
        <f t="shared" si="5"/>
        <v>1.0993500000000003</v>
      </c>
      <c r="F20" s="30">
        <f t="shared" si="1"/>
        <v>47.937947787400404</v>
      </c>
    </row>
    <row r="21" spans="1:6">
      <c r="A21" s="30">
        <f t="shared" si="4"/>
        <v>2.5132741228718343E-2</v>
      </c>
      <c r="B21">
        <f t="shared" si="0"/>
        <v>-1.0165293720973836</v>
      </c>
      <c r="C21" s="30">
        <f t="shared" si="2"/>
        <v>1.0165293720973836</v>
      </c>
      <c r="D21" s="30">
        <f t="shared" si="3"/>
        <v>2.5132741228718343E-2</v>
      </c>
      <c r="E21" s="30">
        <f t="shared" si="5"/>
        <v>1.2564000000000002</v>
      </c>
      <c r="F21" s="30">
        <f t="shared" si="1"/>
        <v>47.937717399801393</v>
      </c>
    </row>
    <row r="22" spans="1:6">
      <c r="A22" s="30">
        <f t="shared" si="4"/>
        <v>2.8274333882308135E-2</v>
      </c>
      <c r="B22">
        <f t="shared" si="0"/>
        <v>-1.0198148237432136</v>
      </c>
      <c r="C22" s="30">
        <f t="shared" si="2"/>
        <v>1.0198148237432136</v>
      </c>
      <c r="D22" s="30">
        <f t="shared" si="3"/>
        <v>2.8274333882308135E-2</v>
      </c>
      <c r="E22" s="30">
        <f t="shared" si="5"/>
        <v>1.4134500000000001</v>
      </c>
      <c r="F22" s="30">
        <f t="shared" si="1"/>
        <v>47.937467018054974</v>
      </c>
    </row>
    <row r="23" spans="1:6">
      <c r="A23" s="30">
        <f t="shared" si="4"/>
        <v>3.1415926535897927E-2</v>
      </c>
      <c r="B23">
        <f t="shared" si="0"/>
        <v>-1.0231216576731836</v>
      </c>
      <c r="C23" s="30">
        <f t="shared" si="2"/>
        <v>1.0231216576731836</v>
      </c>
      <c r="D23" s="30">
        <f t="shared" si="3"/>
        <v>3.1415926535897927E-2</v>
      </c>
      <c r="E23" s="30">
        <f t="shared" si="5"/>
        <v>1.5705</v>
      </c>
      <c r="F23" s="30">
        <f t="shared" si="1"/>
        <v>47.937196652045778</v>
      </c>
    </row>
    <row r="24" spans="1:6">
      <c r="A24" s="30">
        <f t="shared" si="4"/>
        <v>3.4557519189487719E-2</v>
      </c>
      <c r="B24">
        <f t="shared" si="0"/>
        <v>-1.0264501492242097</v>
      </c>
      <c r="C24" s="30">
        <f t="shared" si="2"/>
        <v>1.0264501492242097</v>
      </c>
      <c r="D24" s="30">
        <f t="shared" si="3"/>
        <v>3.4557519189487719E-2</v>
      </c>
      <c r="E24" s="30">
        <f t="shared" si="5"/>
        <v>1.7275499999999999</v>
      </c>
      <c r="F24" s="30">
        <f t="shared" si="1"/>
        <v>47.936906312447391</v>
      </c>
    </row>
    <row r="25" spans="1:6">
      <c r="A25" s="30">
        <f t="shared" si="4"/>
        <v>3.7699111843077511E-2</v>
      </c>
      <c r="B25">
        <f t="shared" si="0"/>
        <v>-1.0298005782122894</v>
      </c>
      <c r="C25" s="30">
        <f t="shared" si="2"/>
        <v>1.0298005782122894</v>
      </c>
      <c r="D25" s="30">
        <f t="shared" si="3"/>
        <v>3.7699111843077511E-2</v>
      </c>
      <c r="E25" s="30">
        <f t="shared" si="5"/>
        <v>1.8845999999999998</v>
      </c>
      <c r="F25" s="30">
        <f t="shared" si="1"/>
        <v>47.936596010721928</v>
      </c>
    </row>
    <row r="26" spans="1:6">
      <c r="A26" s="30">
        <f t="shared" si="4"/>
        <v>4.0840704496667303E-2</v>
      </c>
      <c r="B26">
        <f t="shared" si="0"/>
        <v>-1.0331732290258753</v>
      </c>
      <c r="C26" s="30">
        <f t="shared" si="2"/>
        <v>1.0331732290258753</v>
      </c>
      <c r="D26" s="30">
        <f t="shared" si="3"/>
        <v>4.0840704496667303E-2</v>
      </c>
      <c r="E26" s="30">
        <f t="shared" si="5"/>
        <v>2.0416499999999997</v>
      </c>
      <c r="F26" s="30">
        <f t="shared" si="1"/>
        <v>47.936265759119571</v>
      </c>
    </row>
    <row r="27" spans="1:6">
      <c r="A27" s="30">
        <f t="shared" si="4"/>
        <v>4.3982297150257095E-2</v>
      </c>
      <c r="B27">
        <f t="shared" si="0"/>
        <v>-1.0365683907215737</v>
      </c>
      <c r="C27" s="30">
        <f t="shared" si="2"/>
        <v>1.0365683907215737</v>
      </c>
      <c r="D27" s="30">
        <f t="shared" si="3"/>
        <v>4.3982297150257095E-2</v>
      </c>
      <c r="E27" s="30">
        <f t="shared" si="5"/>
        <v>2.1986999999999997</v>
      </c>
      <c r="F27" s="30">
        <f t="shared" si="1"/>
        <v>47.935915570678084</v>
      </c>
    </row>
    <row r="28" spans="1:6">
      <c r="A28" s="30">
        <f t="shared" si="4"/>
        <v>4.7123889803846887E-2</v>
      </c>
      <c r="B28">
        <f t="shared" si="0"/>
        <v>-1.0399863571222496</v>
      </c>
      <c r="C28" s="30">
        <f t="shared" si="2"/>
        <v>1.0399863571222496</v>
      </c>
      <c r="D28" s="30">
        <f t="shared" si="3"/>
        <v>4.7123889803846887E-2</v>
      </c>
      <c r="E28" s="30">
        <f t="shared" si="5"/>
        <v>2.3557499999999996</v>
      </c>
      <c r="F28" s="30">
        <f t="shared" si="1"/>
        <v>47.935545459222311</v>
      </c>
    </row>
    <row r="29" spans="1:6">
      <c r="A29" s="30">
        <f t="shared" si="4"/>
        <v>5.0265482457436679E-2</v>
      </c>
      <c r="B29">
        <f t="shared" si="0"/>
        <v>-1.0434274269175965</v>
      </c>
      <c r="C29" s="30">
        <f t="shared" si="2"/>
        <v>1.0434274269175965</v>
      </c>
      <c r="D29" s="30">
        <f t="shared" si="3"/>
        <v>5.0265482457436679E-2</v>
      </c>
      <c r="E29" s="30">
        <f t="shared" si="5"/>
        <v>2.5127999999999995</v>
      </c>
      <c r="F29" s="30">
        <f t="shared" si="1"/>
        <v>47.935155439363612</v>
      </c>
    </row>
    <row r="30" spans="1:6">
      <c r="A30" s="30">
        <f t="shared" si="4"/>
        <v>5.3407075111026471E-2</v>
      </c>
      <c r="B30">
        <f t="shared" si="0"/>
        <v>-1.0468919037672528</v>
      </c>
      <c r="C30" s="30">
        <f t="shared" si="2"/>
        <v>1.0468919037672528</v>
      </c>
      <c r="D30" s="30">
        <f t="shared" si="3"/>
        <v>5.3407075111026471E-2</v>
      </c>
      <c r="E30" s="30">
        <f t="shared" si="5"/>
        <v>2.6698499999999994</v>
      </c>
      <c r="F30" s="30">
        <f t="shared" si="1"/>
        <v>47.934745526499306</v>
      </c>
    </row>
    <row r="31" spans="1:6">
      <c r="A31" s="30">
        <f t="shared" si="4"/>
        <v>5.6548667764616263E-2</v>
      </c>
      <c r="B31">
        <f t="shared" si="0"/>
        <v>-1.050380096406538</v>
      </c>
      <c r="C31" s="30">
        <f t="shared" si="2"/>
        <v>1.050380096406538</v>
      </c>
      <c r="D31" s="30">
        <f t="shared" si="3"/>
        <v>5.6548667764616263E-2</v>
      </c>
      <c r="E31" s="30">
        <f t="shared" si="5"/>
        <v>2.8268999999999993</v>
      </c>
      <c r="F31" s="30">
        <f t="shared" si="1"/>
        <v>47.934315736812053</v>
      </c>
    </row>
    <row r="32" spans="1:6">
      <c r="A32" s="30">
        <f t="shared" si="4"/>
        <v>5.9690260418206055E-2</v>
      </c>
      <c r="B32">
        <f t="shared" si="0"/>
        <v>-1.0538923187548819</v>
      </c>
      <c r="C32" s="30">
        <f t="shared" si="2"/>
        <v>1.0538923187548819</v>
      </c>
      <c r="D32" s="30">
        <f t="shared" si="3"/>
        <v>5.9690260418206055E-2</v>
      </c>
      <c r="E32" s="30">
        <f t="shared" si="5"/>
        <v>2.9839499999999992</v>
      </c>
      <c r="F32" s="30">
        <f t="shared" si="1"/>
        <v>47.933866087269216</v>
      </c>
    </row>
    <row r="33" spans="1:6">
      <c r="A33" s="30">
        <f t="shared" si="4"/>
        <v>6.2831853071795854E-2</v>
      </c>
      <c r="B33">
        <f t="shared" si="0"/>
        <v>-1.057428890027037</v>
      </c>
      <c r="C33" s="30">
        <f t="shared" si="2"/>
        <v>1.057428890027037</v>
      </c>
      <c r="D33" s="30">
        <f t="shared" si="3"/>
        <v>6.2831853071795854E-2</v>
      </c>
      <c r="E33" s="30">
        <f t="shared" si="5"/>
        <v>3.1409999999999991</v>
      </c>
      <c r="F33" s="30">
        <f t="shared" si="1"/>
        <v>47.933396595622185</v>
      </c>
    </row>
    <row r="34" spans="1:6">
      <c r="A34" s="30">
        <f t="shared" si="4"/>
        <v>6.5973445725385646E-2</v>
      </c>
      <c r="B34">
        <f t="shared" si="0"/>
        <v>-1.0609901348471471</v>
      </c>
      <c r="C34" s="30">
        <f t="shared" si="2"/>
        <v>1.0609901348471471</v>
      </c>
      <c r="D34" s="30">
        <f t="shared" si="3"/>
        <v>6.5973445725385646E-2</v>
      </c>
      <c r="E34" s="30">
        <f t="shared" si="5"/>
        <v>3.298049999999999</v>
      </c>
      <c r="F34" s="30">
        <f t="shared" si="1"/>
        <v>47.932907280405686</v>
      </c>
    </row>
    <row r="35" spans="1:6">
      <c r="A35" s="30">
        <f t="shared" si="4"/>
        <v>6.9115038378975438E-2</v>
      </c>
      <c r="B35">
        <f t="shared" si="0"/>
        <v>-1.0645763833657689</v>
      </c>
      <c r="C35" s="30">
        <f t="shared" si="2"/>
        <v>1.0645763833657689</v>
      </c>
      <c r="D35" s="30">
        <f t="shared" si="3"/>
        <v>6.9115038378975438E-2</v>
      </c>
      <c r="E35" s="30">
        <f t="shared" si="5"/>
        <v>3.4550999999999989</v>
      </c>
      <c r="F35" s="30">
        <f t="shared" si="1"/>
        <v>47.932398160937041</v>
      </c>
    </row>
    <row r="36" spans="1:6">
      <c r="A36" s="30">
        <f t="shared" si="4"/>
        <v>7.225663103256523E-2</v>
      </c>
      <c r="B36">
        <f t="shared" si="0"/>
        <v>-1.0681879713799245</v>
      </c>
      <c r="C36" s="30">
        <f t="shared" si="2"/>
        <v>1.0681879713799245</v>
      </c>
      <c r="D36" s="30">
        <f t="shared" si="3"/>
        <v>7.225663103256523E-2</v>
      </c>
      <c r="E36" s="30">
        <f t="shared" si="5"/>
        <v>3.6121499999999989</v>
      </c>
      <c r="F36" s="30">
        <f t="shared" si="1"/>
        <v>47.931869257315434</v>
      </c>
    </row>
    <row r="37" spans="1:6">
      <c r="A37" s="30">
        <f t="shared" si="4"/>
        <v>7.5398223686155022E-2</v>
      </c>
      <c r="B37">
        <f t="shared" si="0"/>
        <v>-1.07182524045629</v>
      </c>
      <c r="C37" s="30">
        <f t="shared" si="2"/>
        <v>1.07182524045629</v>
      </c>
      <c r="D37" s="30">
        <f t="shared" si="3"/>
        <v>7.5398223686155022E-2</v>
      </c>
      <c r="E37" s="30">
        <f t="shared" si="5"/>
        <v>3.7691999999999988</v>
      </c>
      <c r="F37" s="30">
        <f t="shared" si="1"/>
        <v>47.931320590421052</v>
      </c>
    </row>
    <row r="38" spans="1:6">
      <c r="A38" s="30">
        <f t="shared" si="4"/>
        <v>7.8539816339744814E-2</v>
      </c>
      <c r="B38">
        <f t="shared" si="0"/>
        <v>-1.0754885380576042</v>
      </c>
      <c r="C38" s="30">
        <f t="shared" si="2"/>
        <v>1.0754885380576042</v>
      </c>
      <c r="D38" s="30">
        <f t="shared" si="3"/>
        <v>7.8539816339744814E-2</v>
      </c>
      <c r="E38" s="30">
        <f t="shared" si="5"/>
        <v>3.9262499999999987</v>
      </c>
      <c r="F38" s="30">
        <f t="shared" si="1"/>
        <v>47.930752181914336</v>
      </c>
    </row>
    <row r="39" spans="1:6">
      <c r="A39" s="30">
        <f t="shared" si="4"/>
        <v>8.1681408993334606E-2</v>
      </c>
      <c r="B39">
        <f t="shared" si="0"/>
        <v>-1.0791782176724056</v>
      </c>
      <c r="C39" s="30">
        <f t="shared" si="2"/>
        <v>1.0791782176724056</v>
      </c>
      <c r="D39" s="30">
        <f t="shared" si="3"/>
        <v>8.1681408993334606E-2</v>
      </c>
      <c r="E39" s="30">
        <f t="shared" si="5"/>
        <v>4.0832999999999986</v>
      </c>
      <c r="F39" s="30">
        <f t="shared" si="1"/>
        <v>47.930164054235078</v>
      </c>
    </row>
    <row r="40" spans="1:6">
      <c r="A40" s="30">
        <f t="shared" si="4"/>
        <v>8.4823001646924398E-2</v>
      </c>
      <c r="B40">
        <f t="shared" si="0"/>
        <v>-1.0828946389481926</v>
      </c>
      <c r="C40" s="30">
        <f t="shared" si="2"/>
        <v>1.0828946389481926</v>
      </c>
      <c r="D40" s="30">
        <f t="shared" si="3"/>
        <v>8.4823001646924398E-2</v>
      </c>
      <c r="E40" s="30">
        <f t="shared" si="5"/>
        <v>4.2403499999999985</v>
      </c>
      <c r="F40" s="30">
        <f t="shared" si="1"/>
        <v>47.929556230601555</v>
      </c>
    </row>
    <row r="41" spans="1:6">
      <c r="A41" s="30">
        <f t="shared" si="4"/>
        <v>8.796459430051419E-2</v>
      </c>
      <c r="B41">
        <f t="shared" si="0"/>
        <v>-1.0866381678281207</v>
      </c>
      <c r="C41" s="30">
        <f t="shared" si="2"/>
        <v>1.0866381678281207</v>
      </c>
      <c r="D41" s="30">
        <f t="shared" si="3"/>
        <v>8.796459430051419E-2</v>
      </c>
      <c r="E41" s="30">
        <f t="shared" si="5"/>
        <v>4.3973999999999984</v>
      </c>
      <c r="F41" s="30">
        <f t="shared" si="1"/>
        <v>47.928928735009599</v>
      </c>
    </row>
    <row r="42" spans="1:6">
      <c r="A42" s="30">
        <f t="shared" si="4"/>
        <v>9.1106186954103982E-2</v>
      </c>
      <c r="B42">
        <f t="shared" si="0"/>
        <v>-1.0904091766913415</v>
      </c>
      <c r="C42" s="30">
        <f t="shared" si="2"/>
        <v>1.0904091766913415</v>
      </c>
      <c r="D42" s="30">
        <f t="shared" si="3"/>
        <v>9.1106186954103982E-2</v>
      </c>
      <c r="E42" s="30">
        <f t="shared" si="5"/>
        <v>4.5544499999999983</v>
      </c>
      <c r="F42" s="30">
        <f t="shared" si="1"/>
        <v>47.928281592231663</v>
      </c>
    </row>
    <row r="43" spans="1:6">
      <c r="A43" s="30">
        <f t="shared" si="4"/>
        <v>9.4247779607693774E-2</v>
      </c>
      <c r="B43">
        <f t="shared" si="0"/>
        <v>-1.0942080444970959</v>
      </c>
      <c r="C43" s="30">
        <f t="shared" si="2"/>
        <v>1.0942080444970959</v>
      </c>
      <c r="D43" s="30">
        <f t="shared" si="3"/>
        <v>9.4247779607693774E-2</v>
      </c>
      <c r="E43" s="30">
        <f t="shared" si="5"/>
        <v>4.7114999999999982</v>
      </c>
      <c r="F43" s="30">
        <f t="shared" si="1"/>
        <v>47.927614827815837</v>
      </c>
    </row>
    <row r="44" spans="1:6">
      <c r="A44" s="30">
        <f t="shared" si="4"/>
        <v>9.7389372261283566E-2</v>
      </c>
      <c r="B44">
        <f t="shared" si="0"/>
        <v>-1.0980351569326885</v>
      </c>
      <c r="C44" s="30">
        <f t="shared" si="2"/>
        <v>1.0980351569326885</v>
      </c>
      <c r="D44" s="30">
        <f t="shared" si="3"/>
        <v>9.7389372261283566E-2</v>
      </c>
      <c r="E44" s="30">
        <f t="shared" si="5"/>
        <v>4.8685499999999982</v>
      </c>
      <c r="F44" s="30">
        <f t="shared" si="1"/>
        <v>47.926928468084839</v>
      </c>
    </row>
    <row r="45" spans="1:6">
      <c r="A45" s="30">
        <f t="shared" si="4"/>
        <v>0.10053096491487336</v>
      </c>
      <c r="B45">
        <f t="shared" si="0"/>
        <v>-1.1018909065654534</v>
      </c>
      <c r="C45" s="30">
        <f t="shared" si="2"/>
        <v>1.1018909065654534</v>
      </c>
      <c r="D45" s="30">
        <f t="shared" si="3"/>
        <v>0.10053096491487336</v>
      </c>
      <c r="E45" s="30">
        <f t="shared" si="5"/>
        <v>5.0255999999999981</v>
      </c>
      <c r="F45" s="30">
        <f t="shared" si="1"/>
        <v>47.926222540134965</v>
      </c>
    </row>
    <row r="46" spans="1:6">
      <c r="A46" s="30">
        <f t="shared" si="4"/>
        <v>0.10367255756846315</v>
      </c>
      <c r="B46">
        <f t="shared" si="0"/>
        <v>-1.1057756929988485</v>
      </c>
      <c r="C46" s="30">
        <f t="shared" si="2"/>
        <v>1.1057756929988485</v>
      </c>
      <c r="D46" s="30">
        <f t="shared" si="3"/>
        <v>0.10367255756846315</v>
      </c>
      <c r="E46" s="30">
        <f t="shared" si="5"/>
        <v>5.182649999999998</v>
      </c>
      <c r="F46" s="30">
        <f t="shared" si="1"/>
        <v>47.925497071835061</v>
      </c>
    </row>
    <row r="47" spans="1:6">
      <c r="A47" s="30">
        <f t="shared" si="4"/>
        <v>0.10681415022205294</v>
      </c>
      <c r="B47">
        <f t="shared" si="0"/>
        <v>-1.1096899230328019</v>
      </c>
      <c r="C47" s="30">
        <f t="shared" si="2"/>
        <v>1.1096899230328019</v>
      </c>
      <c r="D47" s="30">
        <f t="shared" si="3"/>
        <v>0.10681415022205294</v>
      </c>
      <c r="E47" s="30">
        <f t="shared" si="5"/>
        <v>5.3396999999999979</v>
      </c>
      <c r="F47" s="30">
        <f t="shared" si="1"/>
        <v>47.924752091825361</v>
      </c>
    </row>
    <row r="48" spans="1:6">
      <c r="A48" s="30">
        <f t="shared" si="4"/>
        <v>0.10995574287564273</v>
      </c>
      <c r="B48">
        <f t="shared" si="0"/>
        <v>-1.1136340108284521</v>
      </c>
      <c r="C48" s="30">
        <f t="shared" si="2"/>
        <v>1.1136340108284521</v>
      </c>
      <c r="D48" s="30">
        <f t="shared" si="3"/>
        <v>0.10995574287564273</v>
      </c>
      <c r="E48" s="30">
        <f t="shared" si="5"/>
        <v>5.4967499999999978</v>
      </c>
      <c r="F48" s="30">
        <f t="shared" si="1"/>
        <v>47.923987629516404</v>
      </c>
    </row>
    <row r="49" spans="1:6">
      <c r="A49" s="30">
        <f t="shared" si="4"/>
        <v>0.11309733552923253</v>
      </c>
      <c r="B49">
        <f t="shared" si="0"/>
        <v>-1.1176083780774193</v>
      </c>
      <c r="C49" s="30">
        <f t="shared" si="2"/>
        <v>1.1176083780774193</v>
      </c>
      <c r="D49" s="30">
        <f t="shared" si="3"/>
        <v>0.11309733552923253</v>
      </c>
      <c r="E49" s="30">
        <f t="shared" si="5"/>
        <v>5.6537999999999977</v>
      </c>
      <c r="F49" s="30">
        <f t="shared" si="1"/>
        <v>47.923203715087844</v>
      </c>
    </row>
    <row r="50" spans="1:6">
      <c r="A50" s="30">
        <f t="shared" si="4"/>
        <v>0.11623892818282232</v>
      </c>
      <c r="B50">
        <f t="shared" si="0"/>
        <v>-1.121613454175757</v>
      </c>
      <c r="C50" s="30">
        <f t="shared" si="2"/>
        <v>1.121613454175757</v>
      </c>
      <c r="D50" s="30">
        <f t="shared" si="3"/>
        <v>0.11623892818282232</v>
      </c>
      <c r="E50" s="30">
        <f t="shared" si="5"/>
        <v>5.8108499999999976</v>
      </c>
      <c r="F50" s="30">
        <f t="shared" si="1"/>
        <v>47.922400379487293</v>
      </c>
    </row>
    <row r="51" spans="1:6">
      <c r="A51" s="30">
        <f t="shared" si="4"/>
        <v>0.11938052083641211</v>
      </c>
      <c r="B51">
        <f t="shared" si="0"/>
        <v>-1.1256496764027328</v>
      </c>
      <c r="C51" s="30">
        <f t="shared" si="2"/>
        <v>1.1256496764027328</v>
      </c>
      <c r="D51" s="30">
        <f t="shared" si="3"/>
        <v>0.11938052083641211</v>
      </c>
      <c r="E51" s="30">
        <f t="shared" si="5"/>
        <v>5.9678999999999975</v>
      </c>
      <c r="F51" s="30">
        <f t="shared" si="1"/>
        <v>47.921577654429058</v>
      </c>
    </row>
    <row r="52" spans="1:6">
      <c r="A52" s="30">
        <f t="shared" si="4"/>
        <v>0.1225221134900019</v>
      </c>
      <c r="B52">
        <f t="shared" si="0"/>
        <v>-1.1297174901045972</v>
      </c>
      <c r="C52" s="30">
        <f t="shared" si="2"/>
        <v>1.1297174901045972</v>
      </c>
      <c r="D52" s="30">
        <f t="shared" si="3"/>
        <v>0.1225221134900019</v>
      </c>
      <c r="E52" s="30">
        <f t="shared" si="5"/>
        <v>6.1249499999999975</v>
      </c>
      <c r="F52" s="30">
        <f t="shared" si="1"/>
        <v>47.920735572392921</v>
      </c>
    </row>
    <row r="53" spans="1:6">
      <c r="A53" s="30">
        <f t="shared" si="4"/>
        <v>0.12566370614359171</v>
      </c>
      <c r="B53">
        <f t="shared" si="0"/>
        <v>-1.1338173488835057</v>
      </c>
      <c r="C53" s="30">
        <f t="shared" si="2"/>
        <v>1.1338173488835057</v>
      </c>
      <c r="D53" s="30">
        <f t="shared" si="3"/>
        <v>0.12566370614359171</v>
      </c>
      <c r="E53" s="30">
        <f t="shared" si="5"/>
        <v>6.2819999999999974</v>
      </c>
      <c r="F53" s="30">
        <f t="shared" si="1"/>
        <v>47.919874166622833</v>
      </c>
    </row>
    <row r="54" spans="1:6">
      <c r="A54" s="30">
        <f t="shared" si="4"/>
        <v>0.1288052987971815</v>
      </c>
      <c r="B54">
        <f t="shared" si="0"/>
        <v>-1.1379497147917577</v>
      </c>
      <c r="C54" s="30">
        <f t="shared" si="2"/>
        <v>1.1379497147917577</v>
      </c>
      <c r="D54" s="30">
        <f t="shared" si="3"/>
        <v>0.1288052987971815</v>
      </c>
      <c r="E54" s="30">
        <f t="shared" si="5"/>
        <v>6.4390499999999973</v>
      </c>
      <c r="F54" s="30">
        <f t="shared" si="1"/>
        <v>47.918993471125624</v>
      </c>
    </row>
    <row r="55" spans="1:6">
      <c r="A55" s="30">
        <f t="shared" si="4"/>
        <v>0.13194689145077129</v>
      </c>
      <c r="B55">
        <f t="shared" si="0"/>
        <v>-1.1421150585315352</v>
      </c>
      <c r="C55" s="30">
        <f t="shared" si="2"/>
        <v>1.1421150585315352</v>
      </c>
      <c r="D55" s="30">
        <f t="shared" si="3"/>
        <v>0.13194689145077129</v>
      </c>
      <c r="E55" s="30">
        <f t="shared" si="5"/>
        <v>6.5960999999999972</v>
      </c>
      <c r="F55" s="30">
        <f t="shared" si="1"/>
        <v>47.918093520669636</v>
      </c>
    </row>
    <row r="56" spans="1:6">
      <c r="A56" s="30">
        <f t="shared" si="4"/>
        <v>0.13508848410436108</v>
      </c>
      <c r="B56">
        <f t="shared" si="0"/>
        <v>-1.1463138596603191</v>
      </c>
      <c r="C56" s="30">
        <f t="shared" si="2"/>
        <v>1.1463138596603191</v>
      </c>
      <c r="D56" s="30">
        <f t="shared" si="3"/>
        <v>0.13508848410436108</v>
      </c>
      <c r="E56" s="30">
        <f t="shared" si="5"/>
        <v>6.7531499999999971</v>
      </c>
      <c r="F56" s="30">
        <f t="shared" si="1"/>
        <v>47.917174350783377</v>
      </c>
    </row>
    <row r="57" spans="1:6">
      <c r="A57" s="30">
        <f t="shared" si="4"/>
        <v>0.13823007675795088</v>
      </c>
      <c r="B57">
        <f t="shared" si="0"/>
        <v>-1.1505466068021719</v>
      </c>
      <c r="C57" s="30">
        <f t="shared" si="2"/>
        <v>1.1505466068021719</v>
      </c>
      <c r="D57" s="30">
        <f t="shared" si="3"/>
        <v>0.13823007675795088</v>
      </c>
      <c r="E57" s="30">
        <f t="shared" si="5"/>
        <v>6.910199999999997</v>
      </c>
      <c r="F57" s="30">
        <f t="shared" si="1"/>
        <v>47.916235997754107</v>
      </c>
    </row>
    <row r="58" spans="1:6">
      <c r="A58" s="30">
        <f t="shared" si="4"/>
        <v>0.14137166941154067</v>
      </c>
      <c r="B58">
        <f t="shared" si="0"/>
        <v>-1.1548137978650899</v>
      </c>
      <c r="C58" s="30">
        <f t="shared" si="2"/>
        <v>1.1548137978650899</v>
      </c>
      <c r="D58" s="30">
        <f t="shared" si="3"/>
        <v>0.14137166941154067</v>
      </c>
      <c r="E58" s="30">
        <f t="shared" si="5"/>
        <v>7.0672499999999969</v>
      </c>
      <c r="F58" s="30">
        <f t="shared" si="1"/>
        <v>47.915278498626385</v>
      </c>
    </row>
    <row r="59" spans="1:6">
      <c r="A59" s="30">
        <f t="shared" si="4"/>
        <v>0.14451326206513046</v>
      </c>
      <c r="B59">
        <f t="shared" si="0"/>
        <v>-1.159115940264617</v>
      </c>
      <c r="C59" s="30">
        <f t="shared" si="2"/>
        <v>1.159115940264617</v>
      </c>
      <c r="D59" s="30">
        <f t="shared" si="3"/>
        <v>0.14451326206513046</v>
      </c>
      <c r="E59" s="30">
        <f t="shared" si="5"/>
        <v>7.2242999999999968</v>
      </c>
      <c r="F59" s="30">
        <f t="shared" si="1"/>
        <v>47.914301891200644</v>
      </c>
    </row>
    <row r="60" spans="1:6">
      <c r="A60" s="30">
        <f t="shared" si="4"/>
        <v>0.14765485471872025</v>
      </c>
      <c r="B60">
        <f t="shared" si="0"/>
        <v>-1.1634535511539479</v>
      </c>
      <c r="C60" s="30">
        <f t="shared" si="2"/>
        <v>1.1634535511539479</v>
      </c>
      <c r="D60" s="30">
        <f t="shared" si="3"/>
        <v>0.14765485471872025</v>
      </c>
      <c r="E60" s="30">
        <f t="shared" si="5"/>
        <v>7.3813499999999967</v>
      </c>
      <c r="F60" s="30">
        <f t="shared" si="1"/>
        <v>47.913306214031671</v>
      </c>
    </row>
    <row r="61" spans="1:6">
      <c r="A61" s="30">
        <f t="shared" si="4"/>
        <v>0.15079644737231004</v>
      </c>
      <c r="B61">
        <f t="shared" si="0"/>
        <v>-1.1678271576607258</v>
      </c>
      <c r="C61" s="30">
        <f t="shared" si="2"/>
        <v>1.1678271576607258</v>
      </c>
      <c r="D61" s="30">
        <f t="shared" si="3"/>
        <v>0.15079644737231004</v>
      </c>
      <c r="E61" s="30">
        <f t="shared" si="5"/>
        <v>7.5383999999999967</v>
      </c>
      <c r="F61" s="30">
        <f t="shared" si="1"/>
        <v>47.912291506427103</v>
      </c>
    </row>
    <row r="62" spans="1:6">
      <c r="A62" s="30">
        <f t="shared" si="4"/>
        <v>0.15393804002589984</v>
      </c>
      <c r="B62">
        <f t="shared" si="0"/>
        <v>-1.172237297130776</v>
      </c>
      <c r="C62" s="30">
        <f t="shared" si="2"/>
        <v>1.172237297130776</v>
      </c>
      <c r="D62" s="30">
        <f t="shared" si="3"/>
        <v>0.15393804002589984</v>
      </c>
      <c r="E62" s="30">
        <f t="shared" si="5"/>
        <v>7.6954499999999966</v>
      </c>
      <c r="F62" s="30">
        <f t="shared" si="1"/>
        <v>47.911257808445846</v>
      </c>
    </row>
    <row r="63" spans="1:6">
      <c r="A63" s="30">
        <f t="shared" si="4"/>
        <v>0.15707963267948963</v>
      </c>
      <c r="B63">
        <f t="shared" si="0"/>
        <v>-1.1766845173790037</v>
      </c>
      <c r="C63" s="30">
        <f t="shared" si="2"/>
        <v>1.1766845173790037</v>
      </c>
      <c r="D63" s="30">
        <f t="shared" si="3"/>
        <v>0.15707963267948963</v>
      </c>
      <c r="E63" s="30">
        <f t="shared" si="5"/>
        <v>7.8524999999999965</v>
      </c>
      <c r="F63" s="30">
        <f t="shared" si="1"/>
        <v>47.910205160896531</v>
      </c>
    </row>
    <row r="64" spans="1:6">
      <c r="A64" s="30">
        <f t="shared" si="4"/>
        <v>0.16022122533307942</v>
      </c>
      <c r="B64">
        <f t="shared" si="0"/>
        <v>-1.1811693769477087</v>
      </c>
      <c r="C64" s="30">
        <f t="shared" si="2"/>
        <v>1.1811693769477087</v>
      </c>
      <c r="D64" s="30">
        <f t="shared" si="3"/>
        <v>0.16022122533307942</v>
      </c>
      <c r="E64" s="30">
        <f t="shared" si="5"/>
        <v>8.0095499999999973</v>
      </c>
      <c r="F64" s="30">
        <f t="shared" si="1"/>
        <v>47.909133605335882</v>
      </c>
    </row>
    <row r="65" spans="1:6">
      <c r="A65" s="30">
        <f t="shared" si="4"/>
        <v>0.16336281798666921</v>
      </c>
      <c r="B65">
        <f t="shared" si="0"/>
        <v>-1.1856924453725757</v>
      </c>
      <c r="C65" s="30">
        <f t="shared" si="2"/>
        <v>1.1856924453725757</v>
      </c>
      <c r="D65" s="30">
        <f t="shared" si="3"/>
        <v>0.16336281798666921</v>
      </c>
      <c r="E65" s="30">
        <f t="shared" si="5"/>
        <v>8.1665999999999972</v>
      </c>
      <c r="F65" s="30">
        <f t="shared" si="1"/>
        <v>47.908043184067083</v>
      </c>
    </row>
    <row r="66" spans="1:6">
      <c r="A66" s="30">
        <f t="shared" si="4"/>
        <v>0.166504410640259</v>
      </c>
      <c r="B66">
        <f t="shared" si="0"/>
        <v>-1.1902543034565984</v>
      </c>
      <c r="C66" s="30">
        <f t="shared" si="2"/>
        <v>1.1902543034565984</v>
      </c>
      <c r="D66" s="30">
        <f t="shared" si="3"/>
        <v>0.166504410640259</v>
      </c>
      <c r="E66" s="30">
        <f t="shared" si="5"/>
        <v>8.3236499999999971</v>
      </c>
      <c r="F66" s="30">
        <f t="shared" si="1"/>
        <v>47.906933940138089</v>
      </c>
    </row>
    <row r="67" spans="1:6">
      <c r="A67" s="30">
        <f t="shared" si="4"/>
        <v>0.1696460032938488</v>
      </c>
      <c r="B67">
        <f t="shared" si="0"/>
        <v>-1.194855543552229</v>
      </c>
      <c r="C67" s="30">
        <f t="shared" si="2"/>
        <v>1.194855543552229</v>
      </c>
      <c r="D67" s="30">
        <f t="shared" si="3"/>
        <v>0.1696460032938488</v>
      </c>
      <c r="E67" s="30">
        <f t="shared" si="5"/>
        <v>8.480699999999997</v>
      </c>
      <c r="F67" s="30">
        <f t="shared" si="1"/>
        <v>47.905805917339954</v>
      </c>
    </row>
    <row r="68" spans="1:6">
      <c r="A68" s="30">
        <f t="shared" si="4"/>
        <v>0.17278759594743859</v>
      </c>
      <c r="B68">
        <f t="shared" si="0"/>
        <v>-1.1994967698520294</v>
      </c>
      <c r="C68" s="30">
        <f t="shared" si="2"/>
        <v>1.1994967698520294</v>
      </c>
      <c r="D68" s="30">
        <f t="shared" si="3"/>
        <v>0.17278759594743859</v>
      </c>
      <c r="E68" s="30">
        <f t="shared" si="5"/>
        <v>8.6377499999999969</v>
      </c>
      <c r="F68" s="30">
        <f t="shared" si="1"/>
        <v>47.904659160205092</v>
      </c>
    </row>
    <row r="69" spans="1:6">
      <c r="A69" s="30">
        <f t="shared" si="4"/>
        <v>0.17592918860102838</v>
      </c>
      <c r="B69">
        <f t="shared" si="0"/>
        <v>-1.2041785986881344</v>
      </c>
      <c r="C69" s="30">
        <f t="shared" si="2"/>
        <v>1.2041785986881344</v>
      </c>
      <c r="D69" s="30">
        <f t="shared" si="3"/>
        <v>0.17592918860102838</v>
      </c>
      <c r="E69" s="30">
        <f t="shared" si="5"/>
        <v>8.7947999999999968</v>
      </c>
      <c r="F69" s="30">
        <f t="shared" si="1"/>
        <v>47.903493714005506</v>
      </c>
    </row>
    <row r="70" spans="1:6">
      <c r="A70" s="30">
        <f t="shared" si="4"/>
        <v>0.17907078125461817</v>
      </c>
      <c r="B70">
        <f t="shared" si="0"/>
        <v>-1.208901658840833</v>
      </c>
      <c r="C70" s="30">
        <f t="shared" si="2"/>
        <v>1.208901658840833</v>
      </c>
      <c r="D70" s="30">
        <f t="shared" si="3"/>
        <v>0.17907078125461817</v>
      </c>
      <c r="E70" s="30">
        <f t="shared" si="5"/>
        <v>8.9518499999999968</v>
      </c>
      <c r="F70" s="30">
        <f t="shared" si="1"/>
        <v>47.90230962475102</v>
      </c>
    </row>
    <row r="71" spans="1:6">
      <c r="A71" s="30">
        <f t="shared" si="4"/>
        <v>0.18221237390820796</v>
      </c>
      <c r="B71">
        <f t="shared" si="0"/>
        <v>-1.2136665918565999</v>
      </c>
      <c r="C71" s="30">
        <f t="shared" si="2"/>
        <v>1.2136665918565999</v>
      </c>
      <c r="D71" s="30">
        <f t="shared" si="3"/>
        <v>0.18221237390820796</v>
      </c>
      <c r="E71" s="30">
        <f t="shared" si="5"/>
        <v>9.1088999999999967</v>
      </c>
      <c r="F71" s="30">
        <f t="shared" si="1"/>
        <v>47.901106939187443</v>
      </c>
    </row>
    <row r="72" spans="1:6">
      <c r="A72" s="30">
        <f t="shared" si="4"/>
        <v>0.18535396656179776</v>
      </c>
      <c r="B72">
        <f t="shared" si="0"/>
        <v>-1.2184740523759128</v>
      </c>
      <c r="C72" s="30">
        <f t="shared" si="2"/>
        <v>1.2184740523759128</v>
      </c>
      <c r="D72" s="30">
        <f t="shared" si="3"/>
        <v>0.18535396656179776</v>
      </c>
      <c r="E72" s="30">
        <f t="shared" si="5"/>
        <v>9.2659499999999966</v>
      </c>
      <c r="F72" s="30">
        <f t="shared" si="1"/>
        <v>47.899885704794748</v>
      </c>
    </row>
    <row r="73" spans="1:6">
      <c r="A73" s="30">
        <f t="shared" si="4"/>
        <v>0.18849555921538755</v>
      </c>
      <c r="B73">
        <f t="shared" si="0"/>
        <v>-1.2233247084712073</v>
      </c>
      <c r="C73" s="30">
        <f t="shared" si="2"/>
        <v>1.2233247084712073</v>
      </c>
      <c r="D73" s="30">
        <f t="shared" si="3"/>
        <v>0.18849555921538755</v>
      </c>
      <c r="E73" s="30">
        <f t="shared" si="5"/>
        <v>9.4229999999999965</v>
      </c>
      <c r="F73" s="30">
        <f t="shared" si="1"/>
        <v>47.898645969785179</v>
      </c>
    </row>
    <row r="74" spans="1:6">
      <c r="A74" s="30">
        <f t="shared" si="4"/>
        <v>0.19163715186897734</v>
      </c>
      <c r="B74">
        <f t="shared" si="0"/>
        <v>-1.2282192419953453</v>
      </c>
      <c r="C74" s="30">
        <f t="shared" si="2"/>
        <v>1.2282192419953453</v>
      </c>
      <c r="D74" s="30">
        <f t="shared" si="3"/>
        <v>0.19163715186897734</v>
      </c>
      <c r="E74" s="30">
        <f t="shared" si="5"/>
        <v>9.5800499999999964</v>
      </c>
      <c r="F74" s="30">
        <f t="shared" si="1"/>
        <v>47.897387783101344</v>
      </c>
    </row>
    <row r="75" spans="1:6">
      <c r="A75" s="30">
        <f t="shared" si="4"/>
        <v>0.19477874452256713</v>
      </c>
      <c r="B75">
        <f t="shared" si="0"/>
        <v>-1.2331583489409654</v>
      </c>
      <c r="C75" s="30">
        <f t="shared" si="2"/>
        <v>1.2331583489409654</v>
      </c>
      <c r="D75" s="30">
        <f t="shared" si="3"/>
        <v>0.19477874452256713</v>
      </c>
      <c r="E75" s="30">
        <f t="shared" si="5"/>
        <v>9.7370999999999963</v>
      </c>
      <c r="F75" s="30">
        <f t="shared" si="1"/>
        <v>47.89611119441431</v>
      </c>
    </row>
    <row r="76" spans="1:6">
      <c r="A76" s="30">
        <f t="shared" si="4"/>
        <v>0.19792033717615692</v>
      </c>
      <c r="B76">
        <f t="shared" si="0"/>
        <v>-1.2381427398111358</v>
      </c>
      <c r="C76" s="30">
        <f t="shared" si="2"/>
        <v>1.2381427398111358</v>
      </c>
      <c r="D76" s="30">
        <f t="shared" si="3"/>
        <v>0.19792033717615692</v>
      </c>
      <c r="E76" s="30">
        <f t="shared" si="5"/>
        <v>9.8941499999999962</v>
      </c>
      <c r="F76" s="30">
        <f t="shared" si="1"/>
        <v>47.894816254121601</v>
      </c>
    </row>
    <row r="77" spans="1:6">
      <c r="A77" s="30">
        <f t="shared" si="4"/>
        <v>0.20106192982974672</v>
      </c>
      <c r="B77">
        <f t="shared" ref="B77:B140" si="6">$H$3*(SIN($H$4+A77)-SIN($H$5+A77))/(SIN($H$4+A77)-SIN(A77))-$H$6</f>
        <v>-1.2431731400017008</v>
      </c>
      <c r="C77" s="30">
        <f t="shared" si="2"/>
        <v>1.2431731400017008</v>
      </c>
      <c r="D77" s="30">
        <f t="shared" si="3"/>
        <v>0.20106192982974672</v>
      </c>
      <c r="E77" s="30">
        <f t="shared" si="5"/>
        <v>10.051199999999996</v>
      </c>
      <c r="F77" s="30">
        <f t="shared" ref="F77:F140" si="7">$M$5*SIN(2*PI()/$B$7*E77+$M$4)+$M$6</f>
        <v>47.893503013345253</v>
      </c>
    </row>
    <row r="78" spans="1:6">
      <c r="A78" s="30">
        <f t="shared" si="4"/>
        <v>0.20420352248333651</v>
      </c>
      <c r="B78">
        <f t="shared" si="6"/>
        <v>-1.2482502901957799</v>
      </c>
      <c r="C78" s="30">
        <f t="shared" ref="C78:C141" si="8">ABS(B78)</f>
        <v>1.2482502901957799</v>
      </c>
      <c r="D78" s="30">
        <f t="shared" ref="D78:D141" si="9">A78</f>
        <v>0.20420352248333651</v>
      </c>
      <c r="E78" s="30">
        <f t="shared" si="5"/>
        <v>10.208249999999996</v>
      </c>
      <c r="F78" s="30">
        <f t="shared" si="7"/>
        <v>47.892171523929754</v>
      </c>
    </row>
    <row r="79" spans="1:6">
      <c r="A79" s="30">
        <f t="shared" ref="A79:A142" si="10">A78+PI()/1000</f>
        <v>0.2073451151369263</v>
      </c>
      <c r="B79">
        <f t="shared" si="6"/>
        <v>-1.2533749467708502</v>
      </c>
      <c r="C79" s="30">
        <f t="shared" si="8"/>
        <v>1.2533749467708502</v>
      </c>
      <c r="D79" s="30">
        <f t="shared" si="9"/>
        <v>0.2073451151369263</v>
      </c>
      <c r="E79" s="30">
        <f t="shared" ref="E79:E142" si="11">E78+$B$7/1000</f>
        <v>10.365299999999996</v>
      </c>
      <c r="F79" s="30">
        <f t="shared" si="7"/>
        <v>47.890821838440033</v>
      </c>
    </row>
    <row r="80" spans="1:6">
      <c r="A80" s="30">
        <f t="shared" si="10"/>
        <v>0.21048670779051609</v>
      </c>
      <c r="B80">
        <f t="shared" si="6"/>
        <v>-1.2585478822188987</v>
      </c>
      <c r="C80" s="30">
        <f t="shared" si="8"/>
        <v>1.2585478822188987</v>
      </c>
      <c r="D80" s="30">
        <f t="shared" si="9"/>
        <v>0.21048670779051609</v>
      </c>
      <c r="E80" s="30">
        <f t="shared" si="11"/>
        <v>10.522349999999996</v>
      </c>
      <c r="F80" s="30">
        <f t="shared" si="7"/>
        <v>47.889454010159355</v>
      </c>
    </row>
    <row r="81" spans="1:6">
      <c r="A81" s="30">
        <f t="shared" si="10"/>
        <v>0.21362830044410588</v>
      </c>
      <c r="B81">
        <f t="shared" si="6"/>
        <v>-1.2637698855801278</v>
      </c>
      <c r="C81" s="30">
        <f t="shared" si="8"/>
        <v>1.2637698855801278</v>
      </c>
      <c r="D81" s="30">
        <f t="shared" si="9"/>
        <v>0.21362830044410588</v>
      </c>
      <c r="E81" s="30">
        <f t="shared" si="11"/>
        <v>10.679399999999996</v>
      </c>
      <c r="F81" s="30">
        <f t="shared" si="7"/>
        <v>47.888068093087242</v>
      </c>
    </row>
    <row r="82" spans="1:6">
      <c r="A82" s="30">
        <f t="shared" si="10"/>
        <v>0.21676989309769568</v>
      </c>
      <c r="B82">
        <f t="shared" si="6"/>
        <v>-1.269041762890732</v>
      </c>
      <c r="C82" s="30">
        <f t="shared" si="8"/>
        <v>1.269041762890732</v>
      </c>
      <c r="D82" s="30">
        <f t="shared" si="9"/>
        <v>0.21676989309769568</v>
      </c>
      <c r="E82" s="30">
        <f t="shared" si="11"/>
        <v>10.836449999999996</v>
      </c>
      <c r="F82" s="30">
        <f t="shared" si="7"/>
        <v>47.886664141937331</v>
      </c>
    </row>
    <row r="83" spans="1:6">
      <c r="A83" s="30">
        <f t="shared" si="10"/>
        <v>0.21991148575128547</v>
      </c>
      <c r="B83">
        <f t="shared" si="6"/>
        <v>-1.27436433764528</v>
      </c>
      <c r="C83" s="30">
        <f t="shared" si="8"/>
        <v>1.27436433764528</v>
      </c>
      <c r="D83" s="30">
        <f t="shared" si="9"/>
        <v>0.21991148575128547</v>
      </c>
      <c r="E83" s="30">
        <f t="shared" si="11"/>
        <v>10.993499999999996</v>
      </c>
      <c r="F83" s="30">
        <f t="shared" si="7"/>
        <v>47.885242212135203</v>
      </c>
    </row>
    <row r="84" spans="1:6">
      <c r="A84" s="30">
        <f t="shared" si="10"/>
        <v>0.22305307840487526</v>
      </c>
      <c r="B84">
        <f t="shared" si="6"/>
        <v>-1.2797384512742567</v>
      </c>
      <c r="C84" s="30">
        <f t="shared" si="8"/>
        <v>1.2797384512742567</v>
      </c>
      <c r="D84" s="30">
        <f t="shared" si="9"/>
        <v>0.22305307840487526</v>
      </c>
      <c r="E84" s="30">
        <f t="shared" si="11"/>
        <v>11.150549999999996</v>
      </c>
      <c r="F84" s="30">
        <f t="shared" si="7"/>
        <v>47.883802359816222</v>
      </c>
    </row>
    <row r="85" spans="1:6">
      <c r="A85" s="30">
        <f t="shared" si="10"/>
        <v>0.22619467105846505</v>
      </c>
      <c r="B85">
        <f t="shared" si="6"/>
        <v>-1.2851649636373581</v>
      </c>
      <c r="C85" s="30">
        <f t="shared" si="8"/>
        <v>1.2851649636373581</v>
      </c>
      <c r="D85" s="30">
        <f t="shared" si="9"/>
        <v>0.22619467105846505</v>
      </c>
      <c r="E85" s="30">
        <f t="shared" si="11"/>
        <v>11.307599999999995</v>
      </c>
      <c r="F85" s="30">
        <f t="shared" si="7"/>
        <v>47.882344641823281</v>
      </c>
    </row>
    <row r="86" spans="1:6">
      <c r="A86" s="30">
        <f t="shared" si="10"/>
        <v>0.22933626371205484</v>
      </c>
      <c r="B86">
        <f t="shared" si="6"/>
        <v>-1.290644753533138</v>
      </c>
      <c r="C86" s="30">
        <f t="shared" si="8"/>
        <v>1.290644753533138</v>
      </c>
      <c r="D86" s="30">
        <f t="shared" si="9"/>
        <v>0.22933626371205484</v>
      </c>
      <c r="E86" s="30">
        <f t="shared" si="11"/>
        <v>11.464649999999995</v>
      </c>
      <c r="F86" s="30">
        <f t="shared" si="7"/>
        <v>47.880869115704591</v>
      </c>
    </row>
    <row r="87" spans="1:6">
      <c r="A87" s="30">
        <f t="shared" si="10"/>
        <v>0.23247785636564464</v>
      </c>
      <c r="B87">
        <f t="shared" si="6"/>
        <v>-1.2961787192256515</v>
      </c>
      <c r="C87" s="30">
        <f t="shared" si="8"/>
        <v>1.2961787192256515</v>
      </c>
      <c r="D87" s="30">
        <f t="shared" si="9"/>
        <v>0.23247785636564464</v>
      </c>
      <c r="E87" s="30">
        <f t="shared" si="11"/>
        <v>11.621699999999995</v>
      </c>
      <c r="F87" s="30">
        <f t="shared" si="7"/>
        <v>47.8793758397114</v>
      </c>
    </row>
    <row r="88" spans="1:6">
      <c r="A88" s="30">
        <f t="shared" si="10"/>
        <v>0.23561944901923443</v>
      </c>
      <c r="B88">
        <f t="shared" si="6"/>
        <v>-1.3017677789887545</v>
      </c>
      <c r="C88" s="30">
        <f t="shared" si="8"/>
        <v>1.3017677789887545</v>
      </c>
      <c r="D88" s="30">
        <f t="shared" si="9"/>
        <v>0.23561944901923443</v>
      </c>
      <c r="E88" s="30">
        <f t="shared" si="11"/>
        <v>11.778749999999995</v>
      </c>
      <c r="F88" s="30">
        <f t="shared" si="7"/>
        <v>47.877864872795691</v>
      </c>
    </row>
    <row r="89" spans="1:6">
      <c r="A89" s="30">
        <f t="shared" si="10"/>
        <v>0.23876104167282422</v>
      </c>
      <c r="B89">
        <f t="shared" si="6"/>
        <v>-1.3074128716687534</v>
      </c>
      <c r="C89" s="30">
        <f t="shared" si="8"/>
        <v>1.3074128716687534</v>
      </c>
      <c r="D89" s="30">
        <f t="shared" si="9"/>
        <v>0.23876104167282422</v>
      </c>
      <c r="E89" s="30">
        <f t="shared" si="11"/>
        <v>11.935799999999995</v>
      </c>
      <c r="F89" s="30">
        <f t="shared" si="7"/>
        <v>47.876336274607844</v>
      </c>
    </row>
    <row r="90" spans="1:6">
      <c r="A90" s="30">
        <f t="shared" si="10"/>
        <v>0.24190263432641401</v>
      </c>
      <c r="B90">
        <f t="shared" si="6"/>
        <v>-1.3131149572661411</v>
      </c>
      <c r="C90" s="30">
        <f t="shared" si="8"/>
        <v>1.3131149572661411</v>
      </c>
      <c r="D90" s="30">
        <f t="shared" si="9"/>
        <v>0.24190263432641401</v>
      </c>
      <c r="E90" s="30">
        <f t="shared" si="11"/>
        <v>12.092849999999995</v>
      </c>
      <c r="F90" s="30">
        <f t="shared" si="7"/>
        <v>47.874790105494306</v>
      </c>
    </row>
    <row r="91" spans="1:6">
      <c r="A91" s="30">
        <f t="shared" si="10"/>
        <v>0.2450442269800038</v>
      </c>
      <c r="B91">
        <f t="shared" si="6"/>
        <v>-1.3188750175371609</v>
      </c>
      <c r="C91" s="30">
        <f t="shared" si="8"/>
        <v>1.3188750175371609</v>
      </c>
      <c r="D91" s="30">
        <f t="shared" si="9"/>
        <v>0.2450442269800038</v>
      </c>
      <c r="E91" s="30">
        <f t="shared" si="11"/>
        <v>12.249899999999995</v>
      </c>
      <c r="F91" s="30">
        <f t="shared" si="7"/>
        <v>47.873226426495172</v>
      </c>
    </row>
    <row r="92" spans="1:6">
      <c r="A92" s="30">
        <f t="shared" si="10"/>
        <v>0.2481858196335936</v>
      </c>
      <c r="B92">
        <f t="shared" si="6"/>
        <v>-1.3246940566160121</v>
      </c>
      <c r="C92" s="30">
        <f t="shared" si="8"/>
        <v>1.3246940566160121</v>
      </c>
      <c r="D92" s="30">
        <f t="shared" si="9"/>
        <v>0.2481858196335936</v>
      </c>
      <c r="E92" s="30">
        <f t="shared" si="11"/>
        <v>12.406949999999995</v>
      </c>
      <c r="F92" s="30">
        <f t="shared" si="7"/>
        <v>47.871645299341829</v>
      </c>
    </row>
    <row r="93" spans="1:6">
      <c r="A93" s="30">
        <f t="shared" si="10"/>
        <v>0.25132741228718342</v>
      </c>
      <c r="B93">
        <f t="shared" si="6"/>
        <v>-1.3305731016585098</v>
      </c>
      <c r="C93" s="30">
        <f t="shared" si="8"/>
        <v>1.3305731016585098</v>
      </c>
      <c r="D93" s="30">
        <f t="shared" si="9"/>
        <v>0.25132741228718342</v>
      </c>
      <c r="E93" s="30">
        <f t="shared" si="11"/>
        <v>12.563999999999995</v>
      </c>
      <c r="F93" s="30">
        <f t="shared" si="7"/>
        <v>47.870046786454459</v>
      </c>
    </row>
    <row r="94" spans="1:6">
      <c r="A94" s="30">
        <f t="shared" si="10"/>
        <v>0.25446900494077324</v>
      </c>
      <c r="B94">
        <f t="shared" si="6"/>
        <v>-1.3365132035080818</v>
      </c>
      <c r="C94" s="30">
        <f t="shared" si="8"/>
        <v>1.3365132035080818</v>
      </c>
      <c r="D94" s="30">
        <f t="shared" si="9"/>
        <v>0.25446900494077324</v>
      </c>
      <c r="E94" s="30">
        <f t="shared" si="11"/>
        <v>12.721049999999995</v>
      </c>
      <c r="F94" s="30">
        <f t="shared" si="7"/>
        <v>47.868430950939619</v>
      </c>
    </row>
    <row r="95" spans="1:6">
      <c r="A95" s="30">
        <f t="shared" si="10"/>
        <v>0.25761059759436306</v>
      </c>
      <c r="B95">
        <f t="shared" si="6"/>
        <v>-1.3425154373850017</v>
      </c>
      <c r="C95" s="30">
        <f t="shared" si="8"/>
        <v>1.3425154373850017</v>
      </c>
      <c r="D95" s="30">
        <f t="shared" si="9"/>
        <v>0.25761059759436306</v>
      </c>
      <c r="E95" s="30">
        <f t="shared" si="11"/>
        <v>12.878099999999995</v>
      </c>
      <c r="F95" s="30">
        <f t="shared" si="7"/>
        <v>47.866797856587716</v>
      </c>
    </row>
    <row r="96" spans="1:6">
      <c r="A96" s="30">
        <f t="shared" si="10"/>
        <v>0.26075219024795288</v>
      </c>
      <c r="B96">
        <f t="shared" si="6"/>
        <v>-1.34858090359982</v>
      </c>
      <c r="C96" s="30">
        <f t="shared" si="8"/>
        <v>1.34858090359982</v>
      </c>
      <c r="D96" s="30">
        <f t="shared" si="9"/>
        <v>0.26075219024795288</v>
      </c>
      <c r="E96" s="30">
        <f t="shared" si="11"/>
        <v>13.035149999999994</v>
      </c>
      <c r="F96" s="30">
        <f t="shared" si="7"/>
        <v>47.865147567870537</v>
      </c>
    </row>
    <row r="97" spans="1:6">
      <c r="A97" s="30">
        <f t="shared" si="10"/>
        <v>0.2638937829015427</v>
      </c>
      <c r="B97">
        <f t="shared" si="6"/>
        <v>-1.3547107282919737</v>
      </c>
      <c r="C97" s="30">
        <f t="shared" si="8"/>
        <v>1.3547107282919737</v>
      </c>
      <c r="D97" s="30">
        <f t="shared" si="9"/>
        <v>0.2638937829015427</v>
      </c>
      <c r="E97" s="30">
        <f t="shared" si="11"/>
        <v>13.192199999999994</v>
      </c>
      <c r="F97" s="30">
        <f t="shared" si="7"/>
        <v>47.863480149938646</v>
      </c>
    </row>
    <row r="98" spans="1:6">
      <c r="A98" s="30">
        <f t="shared" si="10"/>
        <v>0.26703537555513251</v>
      </c>
      <c r="B98">
        <f t="shared" si="6"/>
        <v>-1.3609060641946424</v>
      </c>
      <c r="C98" s="30">
        <f t="shared" si="8"/>
        <v>1.3609060641946424</v>
      </c>
      <c r="D98" s="30">
        <f t="shared" si="9"/>
        <v>0.26703537555513251</v>
      </c>
      <c r="E98" s="30">
        <f t="shared" si="11"/>
        <v>13.349249999999994</v>
      </c>
      <c r="F98" s="30">
        <f t="shared" si="7"/>
        <v>47.861795668618839</v>
      </c>
    </row>
    <row r="99" spans="1:6">
      <c r="A99" s="30">
        <f t="shared" si="10"/>
        <v>0.27017696820872233</v>
      </c>
      <c r="B99">
        <f t="shared" si="6"/>
        <v>-1.3671680914269189</v>
      </c>
      <c r="C99" s="30">
        <f t="shared" si="8"/>
        <v>1.3671680914269189</v>
      </c>
      <c r="D99" s="30">
        <f t="shared" si="9"/>
        <v>0.27017696820872233</v>
      </c>
      <c r="E99" s="30">
        <f t="shared" si="11"/>
        <v>13.506299999999994</v>
      </c>
      <c r="F99" s="30">
        <f t="shared" si="7"/>
        <v>47.860094190411573</v>
      </c>
    </row>
    <row r="100" spans="1:6">
      <c r="A100" s="30">
        <f t="shared" si="10"/>
        <v>0.27331856086231215</v>
      </c>
      <c r="B100">
        <f t="shared" si="6"/>
        <v>-1.3734980183144587</v>
      </c>
      <c r="C100" s="30">
        <f t="shared" si="8"/>
        <v>1.3734980183144587</v>
      </c>
      <c r="D100" s="30">
        <f t="shared" si="9"/>
        <v>0.27331856086231215</v>
      </c>
      <c r="E100" s="30">
        <f t="shared" si="11"/>
        <v>13.663349999999994</v>
      </c>
      <c r="F100" s="30">
        <f t="shared" si="7"/>
        <v>47.858375782488281</v>
      </c>
    </row>
    <row r="101" spans="1:6">
      <c r="A101" s="30">
        <f t="shared" si="10"/>
        <v>0.27646015351590197</v>
      </c>
      <c r="B101">
        <f t="shared" si="6"/>
        <v>-1.3798970822398007</v>
      </c>
      <c r="C101" s="30">
        <f t="shared" si="8"/>
        <v>1.3798970822398007</v>
      </c>
      <c r="D101" s="30">
        <f t="shared" si="9"/>
        <v>0.27646015351590197</v>
      </c>
      <c r="E101" s="30">
        <f t="shared" si="11"/>
        <v>13.820399999999994</v>
      </c>
      <c r="F101" s="30">
        <f t="shared" si="7"/>
        <v>47.856640512688763</v>
      </c>
    </row>
    <row r="102" spans="1:6">
      <c r="A102" s="30">
        <f t="shared" si="10"/>
        <v>0.27960174616949179</v>
      </c>
      <c r="B102">
        <f t="shared" si="6"/>
        <v>-1.386366550523622</v>
      </c>
      <c r="C102" s="30">
        <f t="shared" si="8"/>
        <v>1.386366550523622</v>
      </c>
      <c r="D102" s="30">
        <f t="shared" si="9"/>
        <v>0.27960174616949179</v>
      </c>
      <c r="E102" s="30">
        <f t="shared" si="11"/>
        <v>13.977449999999994</v>
      </c>
      <c r="F102" s="30">
        <f t="shared" si="7"/>
        <v>47.854888449518512</v>
      </c>
    </row>
    <row r="103" spans="1:6">
      <c r="A103" s="30">
        <f t="shared" si="10"/>
        <v>0.28274333882308161</v>
      </c>
      <c r="B103">
        <f t="shared" si="6"/>
        <v>-1.3929077213382468</v>
      </c>
      <c r="C103" s="30">
        <f t="shared" si="8"/>
        <v>1.3929077213382468</v>
      </c>
      <c r="D103" s="30">
        <f t="shared" si="9"/>
        <v>0.28274333882308161</v>
      </c>
      <c r="E103" s="30">
        <f t="shared" si="11"/>
        <v>14.134499999999994</v>
      </c>
      <c r="F103" s="30">
        <f t="shared" si="7"/>
        <v>47.853119662145971</v>
      </c>
    </row>
    <row r="104" spans="1:6">
      <c r="A104" s="30">
        <f t="shared" si="10"/>
        <v>0.28588493147667143</v>
      </c>
      <c r="B104">
        <f t="shared" si="6"/>
        <v>-1.3995219246547939</v>
      </c>
      <c r="C104" s="30">
        <f t="shared" si="8"/>
        <v>1.3995219246547939</v>
      </c>
      <c r="D104" s="30">
        <f t="shared" si="9"/>
        <v>0.28588493147667143</v>
      </c>
      <c r="E104" s="30">
        <f t="shared" si="11"/>
        <v>14.291549999999994</v>
      </c>
      <c r="F104" s="30">
        <f t="shared" si="7"/>
        <v>47.851334220399842</v>
      </c>
    </row>
    <row r="105" spans="1:6">
      <c r="A105" s="30">
        <f t="shared" si="10"/>
        <v>0.28902652413026125</v>
      </c>
      <c r="B105">
        <f t="shared" si="6"/>
        <v>-1.4062105232254196</v>
      </c>
      <c r="C105" s="30">
        <f t="shared" si="8"/>
        <v>1.4062105232254196</v>
      </c>
      <c r="D105" s="30">
        <f t="shared" si="9"/>
        <v>0.28902652413026125</v>
      </c>
      <c r="E105" s="30">
        <f t="shared" si="11"/>
        <v>14.448599999999994</v>
      </c>
      <c r="F105" s="30">
        <f t="shared" si="7"/>
        <v>47.849532194766311</v>
      </c>
    </row>
    <row r="106" spans="1:6">
      <c r="A106" s="30">
        <f t="shared" si="10"/>
        <v>0.29216811678385107</v>
      </c>
      <c r="B106">
        <f t="shared" si="6"/>
        <v>-1.4129749136021821</v>
      </c>
      <c r="C106" s="30">
        <f t="shared" si="8"/>
        <v>1.4129749136021821</v>
      </c>
      <c r="D106" s="30">
        <f t="shared" si="9"/>
        <v>0.29216811678385107</v>
      </c>
      <c r="E106" s="30">
        <f t="shared" si="11"/>
        <v>14.605649999999994</v>
      </c>
      <c r="F106" s="30">
        <f t="shared" si="7"/>
        <v>47.847713656386254</v>
      </c>
    </row>
    <row r="107" spans="1:6">
      <c r="A107" s="30">
        <f t="shared" si="10"/>
        <v>0.29530970943744089</v>
      </c>
      <c r="B107">
        <f t="shared" si="6"/>
        <v>-1.4198165271941281</v>
      </c>
      <c r="C107" s="30">
        <f t="shared" si="8"/>
        <v>1.4198165271941281</v>
      </c>
      <c r="D107" s="30">
        <f t="shared" si="9"/>
        <v>0.29530970943744089</v>
      </c>
      <c r="E107" s="30">
        <f t="shared" si="11"/>
        <v>14.762699999999993</v>
      </c>
      <c r="F107" s="30">
        <f t="shared" si="7"/>
        <v>47.845878677052461</v>
      </c>
    </row>
    <row r="108" spans="1:6">
      <c r="A108" s="30">
        <f t="shared" si="10"/>
        <v>0.29845130209103071</v>
      </c>
      <c r="B108">
        <f t="shared" si="6"/>
        <v>-1.426736831364289</v>
      </c>
      <c r="C108" s="30">
        <f t="shared" si="8"/>
        <v>1.426736831364289</v>
      </c>
      <c r="D108" s="30">
        <f t="shared" si="9"/>
        <v>0.29845130209103071</v>
      </c>
      <c r="E108" s="30">
        <f t="shared" si="11"/>
        <v>14.919749999999993</v>
      </c>
      <c r="F108" s="30">
        <f t="shared" si="7"/>
        <v>47.844027329206774</v>
      </c>
    </row>
    <row r="109" spans="1:6">
      <c r="A109" s="30">
        <f t="shared" si="10"/>
        <v>0.30159289474462053</v>
      </c>
      <c r="B109">
        <f t="shared" si="6"/>
        <v>-1.4337373305683507</v>
      </c>
      <c r="C109" s="30">
        <f t="shared" si="8"/>
        <v>1.4337373305683507</v>
      </c>
      <c r="D109" s="30">
        <f t="shared" si="9"/>
        <v>0.30159289474462053</v>
      </c>
      <c r="E109" s="30">
        <f t="shared" si="11"/>
        <v>15.076799999999993</v>
      </c>
      <c r="F109" s="30">
        <f t="shared" si="7"/>
        <v>47.842159685937233</v>
      </c>
    </row>
    <row r="110" spans="1:6">
      <c r="A110" s="30">
        <f t="shared" si="10"/>
        <v>0.30473448739821035</v>
      </c>
      <c r="B110">
        <f t="shared" si="6"/>
        <v>-1.4408195675368642</v>
      </c>
      <c r="C110" s="30">
        <f t="shared" si="8"/>
        <v>1.4408195675368642</v>
      </c>
      <c r="D110" s="30">
        <f t="shared" si="9"/>
        <v>0.30473448739821035</v>
      </c>
      <c r="E110" s="30">
        <f t="shared" si="11"/>
        <v>15.233849999999993</v>
      </c>
      <c r="F110" s="30">
        <f t="shared" si="7"/>
        <v>47.840275820975194</v>
      </c>
    </row>
    <row r="111" spans="1:6">
      <c r="A111" s="30">
        <f t="shared" si="10"/>
        <v>0.30787608005180017</v>
      </c>
      <c r="B111">
        <f t="shared" si="6"/>
        <v>-1.4479851245029391</v>
      </c>
      <c r="C111" s="30">
        <f t="shared" si="8"/>
        <v>1.4479851245029391</v>
      </c>
      <c r="D111" s="30">
        <f t="shared" si="9"/>
        <v>0.30787608005180017</v>
      </c>
      <c r="E111" s="30">
        <f t="shared" si="11"/>
        <v>15.390899999999993</v>
      </c>
      <c r="F111" s="30">
        <f t="shared" si="7"/>
        <v>47.838375808692426</v>
      </c>
    </row>
    <row r="112" spans="1:6">
      <c r="A112" s="30">
        <f t="shared" si="10"/>
        <v>0.31101767270538999</v>
      </c>
      <c r="B112">
        <f t="shared" si="6"/>
        <v>-1.4552356244774913</v>
      </c>
      <c r="C112" s="30">
        <f t="shared" si="8"/>
        <v>1.4552356244774913</v>
      </c>
      <c r="D112" s="30">
        <f t="shared" si="9"/>
        <v>0.31101767270538999</v>
      </c>
      <c r="E112" s="30">
        <f t="shared" si="11"/>
        <v>15.547949999999993</v>
      </c>
      <c r="F112" s="30">
        <f t="shared" si="7"/>
        <v>47.836459724098155</v>
      </c>
    </row>
    <row r="113" spans="1:6">
      <c r="A113" s="30">
        <f t="shared" si="10"/>
        <v>0.31415926535897981</v>
      </c>
      <c r="B113">
        <f t="shared" si="6"/>
        <v>-1.4625727325741908</v>
      </c>
      <c r="C113" s="30">
        <f t="shared" si="8"/>
        <v>1.4625727325741908</v>
      </c>
      <c r="D113" s="30">
        <f t="shared" si="9"/>
        <v>0.31415926535897981</v>
      </c>
      <c r="E113" s="30">
        <f t="shared" si="11"/>
        <v>15.704999999999993</v>
      </c>
      <c r="F113" s="30">
        <f t="shared" si="7"/>
        <v>47.834527642836122</v>
      </c>
    </row>
    <row r="114" spans="1:6">
      <c r="A114" s="30">
        <f t="shared" si="10"/>
        <v>0.31730085801256963</v>
      </c>
      <c r="B114">
        <f t="shared" si="6"/>
        <v>-1.4699981573864009</v>
      </c>
      <c r="C114" s="30">
        <f t="shared" si="8"/>
        <v>1.4699981573864009</v>
      </c>
      <c r="D114" s="30">
        <f t="shared" si="9"/>
        <v>0.31730085801256963</v>
      </c>
      <c r="E114" s="30">
        <f t="shared" si="11"/>
        <v>15.862049999999993</v>
      </c>
      <c r="F114" s="30">
        <f t="shared" si="7"/>
        <v>47.832579641181589</v>
      </c>
    </row>
    <row r="115" spans="1:6">
      <c r="A115" s="30">
        <f t="shared" si="10"/>
        <v>0.32044245066615945</v>
      </c>
      <c r="B115">
        <f t="shared" si="6"/>
        <v>-1.4775136524184875</v>
      </c>
      <c r="C115" s="30">
        <f t="shared" si="8"/>
        <v>1.4775136524184875</v>
      </c>
      <c r="D115" s="30">
        <f t="shared" si="9"/>
        <v>0.32044245066615945</v>
      </c>
      <c r="E115" s="30">
        <f t="shared" si="11"/>
        <v>16.019099999999995</v>
      </c>
      <c r="F115" s="30">
        <f t="shared" si="7"/>
        <v>47.83061579603833</v>
      </c>
    </row>
    <row r="116" spans="1:6">
      <c r="A116" s="30">
        <f t="shared" si="10"/>
        <v>0.32358404331974927</v>
      </c>
      <c r="B116">
        <f t="shared" si="6"/>
        <v>-1.4851210175740397</v>
      </c>
      <c r="C116" s="30">
        <f t="shared" si="8"/>
        <v>1.4851210175740397</v>
      </c>
      <c r="D116" s="30">
        <f t="shared" si="9"/>
        <v>0.32358404331974927</v>
      </c>
      <c r="E116" s="30">
        <f t="shared" si="11"/>
        <v>16.176149999999996</v>
      </c>
      <c r="F116" s="30">
        <f t="shared" si="7"/>
        <v>47.828636184935576</v>
      </c>
    </row>
    <row r="117" spans="1:6">
      <c r="A117" s="30">
        <f t="shared" si="10"/>
        <v>0.32672563597333909</v>
      </c>
      <c r="B117">
        <f t="shared" si="6"/>
        <v>-1.4928221007036371</v>
      </c>
      <c r="C117" s="30">
        <f t="shared" si="8"/>
        <v>1.4928221007036371</v>
      </c>
      <c r="D117" s="30">
        <f t="shared" si="9"/>
        <v>0.32672563597333909</v>
      </c>
      <c r="E117" s="30">
        <f t="shared" si="11"/>
        <v>16.333199999999998</v>
      </c>
      <c r="F117" s="30">
        <f t="shared" si="7"/>
        <v>47.82664088602499</v>
      </c>
    </row>
    <row r="118" spans="1:6">
      <c r="A118" s="30">
        <f t="shared" si="10"/>
        <v>0.32986722862692891</v>
      </c>
      <c r="B118">
        <f t="shared" si="6"/>
        <v>-1.5006187992149851</v>
      </c>
      <c r="C118" s="30">
        <f t="shared" si="8"/>
        <v>1.5006187992149851</v>
      </c>
      <c r="D118" s="30">
        <f t="shared" si="9"/>
        <v>0.32986722862692891</v>
      </c>
      <c r="E118" s="30">
        <f t="shared" si="11"/>
        <v>16.49025</v>
      </c>
      <c r="F118" s="30">
        <f t="shared" si="7"/>
        <v>47.82462997807756</v>
      </c>
    </row>
    <row r="119" spans="1:6">
      <c r="A119" s="30">
        <f t="shared" si="10"/>
        <v>0.33300882128051873</v>
      </c>
      <c r="B119">
        <f t="shared" si="6"/>
        <v>-1.5085130617483502</v>
      </c>
      <c r="C119" s="30">
        <f t="shared" si="8"/>
        <v>1.5085130617483502</v>
      </c>
      <c r="D119" s="30">
        <f t="shared" si="9"/>
        <v>0.33300882128051873</v>
      </c>
      <c r="E119" s="30">
        <f t="shared" si="11"/>
        <v>16.647300000000001</v>
      </c>
      <c r="F119" s="30">
        <f t="shared" si="7"/>
        <v>47.822603540480486</v>
      </c>
    </row>
    <row r="120" spans="1:6">
      <c r="A120" s="30">
        <f t="shared" si="10"/>
        <v>0.33615041393410855</v>
      </c>
      <c r="B120">
        <f t="shared" si="6"/>
        <v>-1.5165068899204219</v>
      </c>
      <c r="C120" s="30">
        <f t="shared" si="8"/>
        <v>1.5165068899204219</v>
      </c>
      <c r="D120" s="30">
        <f t="shared" si="9"/>
        <v>0.33615041393410855</v>
      </c>
      <c r="E120" s="30">
        <f t="shared" si="11"/>
        <v>16.804350000000003</v>
      </c>
      <c r="F120" s="30">
        <f t="shared" si="7"/>
        <v>47.820561653234051</v>
      </c>
    </row>
    <row r="121" spans="1:6">
      <c r="A121" s="30">
        <f t="shared" si="10"/>
        <v>0.33929200658769837</v>
      </c>
      <c r="B121">
        <f t="shared" si="6"/>
        <v>-1.5246023401398718</v>
      </c>
      <c r="C121" s="30">
        <f t="shared" si="8"/>
        <v>1.5246023401398718</v>
      </c>
      <c r="D121" s="30">
        <f t="shared" si="9"/>
        <v>0.33929200658769837</v>
      </c>
      <c r="E121" s="30">
        <f t="shared" si="11"/>
        <v>16.961400000000005</v>
      </c>
      <c r="F121" s="30">
        <f t="shared" si="7"/>
        <v>47.818504396948477</v>
      </c>
    </row>
    <row r="122" spans="1:6">
      <c r="A122" s="30">
        <f t="shared" si="10"/>
        <v>0.34243359924128819</v>
      </c>
      <c r="B122">
        <f t="shared" si="6"/>
        <v>-1.5328015254980829</v>
      </c>
      <c r="C122" s="30">
        <f t="shared" si="8"/>
        <v>1.5328015254980829</v>
      </c>
      <c r="D122" s="30">
        <f t="shared" si="9"/>
        <v>0.34243359924128819</v>
      </c>
      <c r="E122" s="30">
        <f t="shared" si="11"/>
        <v>17.118450000000006</v>
      </c>
      <c r="F122" s="30">
        <f t="shared" si="7"/>
        <v>47.816431852840708</v>
      </c>
    </row>
    <row r="123" spans="1:6">
      <c r="A123" s="30">
        <f t="shared" si="10"/>
        <v>0.34557519189487801</v>
      </c>
      <c r="B123">
        <f t="shared" si="6"/>
        <v>-1.5411066177386961</v>
      </c>
      <c r="C123" s="30">
        <f t="shared" si="8"/>
        <v>1.5411066177386961</v>
      </c>
      <c r="D123" s="30">
        <f t="shared" si="9"/>
        <v>0.34557519189487801</v>
      </c>
      <c r="E123" s="30">
        <f t="shared" si="11"/>
        <v>17.275500000000008</v>
      </c>
      <c r="F123" s="30">
        <f t="shared" si="7"/>
        <v>47.814344102731241</v>
      </c>
    </row>
    <row r="124" spans="1:6">
      <c r="A124" s="30">
        <f t="shared" si="10"/>
        <v>0.34871678454846783</v>
      </c>
      <c r="B124">
        <f t="shared" si="6"/>
        <v>-1.5495198493098439</v>
      </c>
      <c r="C124" s="30">
        <f t="shared" si="8"/>
        <v>1.5495198493098439</v>
      </c>
      <c r="D124" s="30">
        <f t="shared" si="9"/>
        <v>0.34871678454846783</v>
      </c>
      <c r="E124" s="30">
        <f t="shared" si="11"/>
        <v>17.43255000000001</v>
      </c>
      <c r="F124" s="30">
        <f t="shared" si="7"/>
        <v>47.812241229040879</v>
      </c>
    </row>
    <row r="125" spans="1:6">
      <c r="A125" s="30">
        <f t="shared" si="10"/>
        <v>0.35185837720205765</v>
      </c>
      <c r="B125">
        <f t="shared" si="6"/>
        <v>-1.5580435155031405</v>
      </c>
      <c r="C125" s="30">
        <f t="shared" si="8"/>
        <v>1.5580435155031405</v>
      </c>
      <c r="D125" s="30">
        <f t="shared" si="9"/>
        <v>0.35185837720205765</v>
      </c>
      <c r="E125" s="30">
        <f t="shared" si="11"/>
        <v>17.589600000000011</v>
      </c>
      <c r="F125" s="30">
        <f t="shared" si="7"/>
        <v>47.810123314787468</v>
      </c>
    </row>
    <row r="126" spans="1:6">
      <c r="A126" s="30">
        <f t="shared" si="10"/>
        <v>0.35499996985564747</v>
      </c>
      <c r="B126">
        <f t="shared" si="6"/>
        <v>-1.5666799766837458</v>
      </c>
      <c r="C126" s="30">
        <f t="shared" si="8"/>
        <v>1.5666799766837458</v>
      </c>
      <c r="D126" s="30">
        <f t="shared" si="9"/>
        <v>0.35499996985564747</v>
      </c>
      <c r="E126" s="30">
        <f t="shared" si="11"/>
        <v>17.746650000000013</v>
      </c>
      <c r="F126" s="30">
        <f t="shared" si="7"/>
        <v>47.807990443582646</v>
      </c>
    </row>
    <row r="127" spans="1:6">
      <c r="A127" s="30">
        <f t="shared" si="10"/>
        <v>0.35814156250923729</v>
      </c>
      <c r="B127">
        <f t="shared" si="6"/>
        <v>-1.5754316606160528</v>
      </c>
      <c r="C127" s="30">
        <f t="shared" si="8"/>
        <v>1.5754316606160528</v>
      </c>
      <c r="D127" s="30">
        <f t="shared" si="9"/>
        <v>0.35814156250923729</v>
      </c>
      <c r="E127" s="30">
        <f t="shared" si="11"/>
        <v>17.903700000000015</v>
      </c>
      <c r="F127" s="30">
        <f t="shared" si="7"/>
        <v>47.805842699628506</v>
      </c>
    </row>
    <row r="128" spans="1:6">
      <c r="A128" s="30">
        <f t="shared" si="10"/>
        <v>0.36128315516282711</v>
      </c>
      <c r="B128">
        <f t="shared" si="6"/>
        <v>-1.5843010648898217</v>
      </c>
      <c r="C128" s="30">
        <f t="shared" si="8"/>
        <v>1.5843010648898217</v>
      </c>
      <c r="D128" s="30">
        <f t="shared" si="9"/>
        <v>0.36128315516282711</v>
      </c>
      <c r="E128" s="30">
        <f t="shared" si="11"/>
        <v>18.060750000000017</v>
      </c>
      <c r="F128" s="30">
        <f t="shared" si="7"/>
        <v>47.803680167714305</v>
      </c>
    </row>
    <row r="129" spans="1:6">
      <c r="A129" s="30">
        <f t="shared" si="10"/>
        <v>0.36442474781641693</v>
      </c>
      <c r="B129">
        <f t="shared" si="6"/>
        <v>-1.5932907594518575</v>
      </c>
      <c r="C129" s="30">
        <f t="shared" si="8"/>
        <v>1.5932907594518575</v>
      </c>
      <c r="D129" s="30">
        <f t="shared" si="9"/>
        <v>0.36442474781641693</v>
      </c>
      <c r="E129" s="30">
        <f t="shared" si="11"/>
        <v>18.217800000000018</v>
      </c>
      <c r="F129" s="30">
        <f t="shared" si="7"/>
        <v>47.801502933213101</v>
      </c>
    </row>
    <row r="130" spans="1:6">
      <c r="A130" s="30">
        <f t="shared" si="10"/>
        <v>0.36756634047000675</v>
      </c>
      <c r="B130">
        <f t="shared" si="6"/>
        <v>-1.6024033892486262</v>
      </c>
      <c r="C130" s="30">
        <f t="shared" si="8"/>
        <v>1.6024033892486262</v>
      </c>
      <c r="D130" s="30">
        <f t="shared" si="9"/>
        <v>0.36756634047000675</v>
      </c>
      <c r="E130" s="30">
        <f t="shared" si="11"/>
        <v>18.37485000000002</v>
      </c>
      <c r="F130" s="30">
        <f t="shared" si="7"/>
        <v>47.79931108207839</v>
      </c>
    </row>
    <row r="131" spans="1:6">
      <c r="A131" s="30">
        <f t="shared" si="10"/>
        <v>0.37070793312359657</v>
      </c>
      <c r="B131">
        <f t="shared" si="6"/>
        <v>-1.611641676985522</v>
      </c>
      <c r="C131" s="30">
        <f t="shared" si="8"/>
        <v>1.611641676985522</v>
      </c>
      <c r="D131" s="30">
        <f t="shared" si="9"/>
        <v>0.37070793312359657</v>
      </c>
      <c r="E131" s="30">
        <f t="shared" si="11"/>
        <v>18.531900000000022</v>
      </c>
      <c r="F131" s="30">
        <f t="shared" si="7"/>
        <v>47.797104700840691</v>
      </c>
    </row>
    <row r="132" spans="1:6">
      <c r="A132" s="30">
        <f t="shared" si="10"/>
        <v>0.37384952577718639</v>
      </c>
      <c r="B132">
        <f t="shared" si="6"/>
        <v>-1.6210084260088422</v>
      </c>
      <c r="C132" s="30">
        <f t="shared" si="8"/>
        <v>1.6210084260088422</v>
      </c>
      <c r="D132" s="30">
        <f t="shared" si="9"/>
        <v>0.37384952577718639</v>
      </c>
      <c r="E132" s="30">
        <f t="shared" si="11"/>
        <v>18.688950000000023</v>
      </c>
      <c r="F132" s="30">
        <f t="shared" si="7"/>
        <v>47.79488387660416</v>
      </c>
    </row>
    <row r="133" spans="1:6">
      <c r="A133" s="30">
        <f t="shared" si="10"/>
        <v>0.37699111843077621</v>
      </c>
      <c r="B133">
        <f t="shared" si="6"/>
        <v>-1.6305065233168785</v>
      </c>
      <c r="C133" s="30">
        <f t="shared" si="8"/>
        <v>1.6305065233168785</v>
      </c>
      <c r="D133" s="30">
        <f t="shared" si="9"/>
        <v>0.37699111843077621</v>
      </c>
      <c r="E133" s="30">
        <f t="shared" si="11"/>
        <v>18.846000000000025</v>
      </c>
      <c r="F133" s="30">
        <f t="shared" si="7"/>
        <v>47.792648697043141</v>
      </c>
    </row>
    <row r="134" spans="1:6">
      <c r="A134" s="30">
        <f t="shared" si="10"/>
        <v>0.38013271108436603</v>
      </c>
      <c r="B134">
        <f t="shared" si="6"/>
        <v>-1.6401389427069288</v>
      </c>
      <c r="C134" s="30">
        <f t="shared" si="8"/>
        <v>1.6401389427069288</v>
      </c>
      <c r="D134" s="30">
        <f t="shared" si="9"/>
        <v>0.38013271108436603</v>
      </c>
      <c r="E134" s="30">
        <f t="shared" si="11"/>
        <v>19.003050000000027</v>
      </c>
      <c r="F134" s="30">
        <f t="shared" si="7"/>
        <v>47.790399250398693</v>
      </c>
    </row>
    <row r="135" spans="1:6">
      <c r="A135" s="30">
        <f t="shared" si="10"/>
        <v>0.38327430373795585</v>
      </c>
      <c r="B135">
        <f t="shared" si="6"/>
        <v>-1.649908748065436</v>
      </c>
      <c r="C135" s="30">
        <f t="shared" si="8"/>
        <v>1.649908748065436</v>
      </c>
      <c r="D135" s="30">
        <f t="shared" si="9"/>
        <v>0.38327430373795585</v>
      </c>
      <c r="E135" s="30">
        <f t="shared" si="11"/>
        <v>19.160100000000028</v>
      </c>
      <c r="F135" s="30">
        <f t="shared" si="7"/>
        <v>47.788135625475114</v>
      </c>
    </row>
    <row r="136" spans="1:6">
      <c r="A136" s="30">
        <f t="shared" si="10"/>
        <v>0.38641589639154567</v>
      </c>
      <c r="B136">
        <f t="shared" si="6"/>
        <v>-1.6598190968089177</v>
      </c>
      <c r="C136" s="30">
        <f t="shared" si="8"/>
        <v>1.6598190968089177</v>
      </c>
      <c r="D136" s="30">
        <f t="shared" si="9"/>
        <v>0.38641589639154567</v>
      </c>
      <c r="E136" s="30">
        <f t="shared" si="11"/>
        <v>19.31715000000003</v>
      </c>
      <c r="F136" s="30">
        <f t="shared" si="7"/>
        <v>47.785857911636441</v>
      </c>
    </row>
    <row r="137" spans="1:6">
      <c r="A137" s="30">
        <f t="shared" si="10"/>
        <v>0.38955748904513549</v>
      </c>
      <c r="B137">
        <f t="shared" si="6"/>
        <v>-1.669873243483794</v>
      </c>
      <c r="C137" s="30">
        <f t="shared" si="8"/>
        <v>1.669873243483794</v>
      </c>
      <c r="D137" s="30">
        <f t="shared" si="9"/>
        <v>0.38955748904513549</v>
      </c>
      <c r="E137" s="30">
        <f t="shared" si="11"/>
        <v>19.474200000000032</v>
      </c>
      <c r="F137" s="30">
        <f t="shared" si="7"/>
        <v>47.783566198802923</v>
      </c>
    </row>
    <row r="138" spans="1:6">
      <c r="A138" s="30">
        <f t="shared" si="10"/>
        <v>0.39269908169872531</v>
      </c>
      <c r="B138">
        <f t="shared" si="6"/>
        <v>-1.680074543533761</v>
      </c>
      <c r="C138" s="30">
        <f t="shared" si="8"/>
        <v>1.680074543533761</v>
      </c>
      <c r="D138" s="30">
        <f t="shared" si="9"/>
        <v>0.39269908169872531</v>
      </c>
      <c r="E138" s="30">
        <f t="shared" si="11"/>
        <v>19.631250000000033</v>
      </c>
      <c r="F138" s="30">
        <f t="shared" si="7"/>
        <v>47.781260577447455</v>
      </c>
    </row>
    <row r="139" spans="1:6">
      <c r="A139" s="30">
        <f t="shared" si="10"/>
        <v>0.39584067435231512</v>
      </c>
      <c r="B139">
        <f t="shared" si="6"/>
        <v>-1.6904264572438628</v>
      </c>
      <c r="C139" s="30">
        <f t="shared" si="8"/>
        <v>1.6904264572438628</v>
      </c>
      <c r="D139" s="30">
        <f t="shared" si="9"/>
        <v>0.39584067435231512</v>
      </c>
      <c r="E139" s="30">
        <f t="shared" si="11"/>
        <v>19.788300000000035</v>
      </c>
      <c r="F139" s="30">
        <f t="shared" si="7"/>
        <v>47.778941138592018</v>
      </c>
    </row>
    <row r="140" spans="1:6">
      <c r="A140" s="30">
        <f t="shared" si="10"/>
        <v>0.39898226700590494</v>
      </c>
      <c r="B140">
        <f t="shared" si="6"/>
        <v>-1.7009325538710163</v>
      </c>
      <c r="C140" s="30">
        <f t="shared" si="8"/>
        <v>1.7009325538710163</v>
      </c>
      <c r="D140" s="30">
        <f t="shared" si="9"/>
        <v>0.39898226700590494</v>
      </c>
      <c r="E140" s="30">
        <f t="shared" si="11"/>
        <v>19.945350000000037</v>
      </c>
      <c r="F140" s="30">
        <f t="shared" si="7"/>
        <v>47.776607973804083</v>
      </c>
    </row>
    <row r="141" spans="1:6">
      <c r="A141" s="30">
        <f t="shared" si="10"/>
        <v>0.40212385965949476</v>
      </c>
      <c r="B141">
        <f t="shared" ref="B141:B204" si="12">$H$3*(SIN($H$4+A141)-SIN($H$5+A141))/(SIN($H$4+A141)-SIN(A141))-$H$6</f>
        <v>-1.7115965159713469</v>
      </c>
      <c r="C141" s="30">
        <f t="shared" si="8"/>
        <v>1.7115965159713469</v>
      </c>
      <c r="D141" s="30">
        <f t="shared" si="9"/>
        <v>0.40212385965949476</v>
      </c>
      <c r="E141" s="30">
        <f t="shared" si="11"/>
        <v>20.102400000000038</v>
      </c>
      <c r="F141" s="30">
        <f t="shared" ref="F141:F204" si="13">$M$5*SIN(2*PI()/$B$7*E141+$M$4)+$M$6</f>
        <v>47.774261175193011</v>
      </c>
    </row>
    <row r="142" spans="1:6">
      <c r="A142" s="30">
        <f t="shared" si="10"/>
        <v>0.40526545231308458</v>
      </c>
      <c r="B142">
        <f t="shared" si="12"/>
        <v>-1.7224221439353771</v>
      </c>
      <c r="C142" s="30">
        <f t="shared" ref="C142:C205" si="14">ABS(B142)</f>
        <v>1.7224221439353771</v>
      </c>
      <c r="D142" s="30">
        <f t="shared" ref="D142:D205" si="15">A142</f>
        <v>0.40526545231308458</v>
      </c>
      <c r="E142" s="30">
        <f t="shared" si="11"/>
        <v>20.25945000000004</v>
      </c>
      <c r="F142" s="30">
        <f t="shared" si="13"/>
        <v>47.771900835406385</v>
      </c>
    </row>
    <row r="143" spans="1:6">
      <c r="A143" s="30">
        <f t="shared" ref="A143:A206" si="16">A142+PI()/1000</f>
        <v>0.4084070449666744</v>
      </c>
      <c r="B143">
        <f t="shared" si="12"/>
        <v>-1.733413360742786</v>
      </c>
      <c r="C143" s="30">
        <f t="shared" si="14"/>
        <v>1.733413360742786</v>
      </c>
      <c r="D143" s="30">
        <f t="shared" si="15"/>
        <v>0.4084070449666744</v>
      </c>
      <c r="E143" s="30">
        <f t="shared" ref="E143:E206" si="17">E142+$B$7/1000</f>
        <v>20.416500000000042</v>
      </c>
      <c r="F143" s="30">
        <f t="shared" si="13"/>
        <v>47.769527047626383</v>
      </c>
    </row>
    <row r="144" spans="1:6">
      <c r="A144" s="30">
        <f t="shared" si="16"/>
        <v>0.41154863762026422</v>
      </c>
      <c r="B144">
        <f t="shared" si="12"/>
        <v>-1.7445742169492735</v>
      </c>
      <c r="C144" s="30">
        <f t="shared" si="14"/>
        <v>1.7445742169492735</v>
      </c>
      <c r="D144" s="30">
        <f t="shared" si="15"/>
        <v>0.41154863762026422</v>
      </c>
      <c r="E144" s="30">
        <f t="shared" si="17"/>
        <v>20.573550000000044</v>
      </c>
      <c r="F144" s="30">
        <f t="shared" si="13"/>
        <v>47.767139905566076</v>
      </c>
    </row>
    <row r="145" spans="1:6">
      <c r="A145" s="30">
        <f t="shared" si="16"/>
        <v>0.41469023027385404</v>
      </c>
      <c r="B145">
        <f t="shared" si="12"/>
        <v>-1.7559088959188274</v>
      </c>
      <c r="C145" s="30">
        <f t="shared" si="14"/>
        <v>1.7559088959188274</v>
      </c>
      <c r="D145" s="30">
        <f t="shared" si="15"/>
        <v>0.41469023027385404</v>
      </c>
      <c r="E145" s="30">
        <f t="shared" si="17"/>
        <v>20.730600000000045</v>
      </c>
      <c r="F145" s="30">
        <f t="shared" si="13"/>
        <v>47.764739503465748</v>
      </c>
    </row>
    <row r="146" spans="1:6">
      <c r="A146" s="30">
        <f t="shared" si="16"/>
        <v>0.41783182292744386</v>
      </c>
      <c r="B146">
        <f t="shared" si="12"/>
        <v>-1.7674217193156201</v>
      </c>
      <c r="C146" s="30">
        <f t="shared" si="14"/>
        <v>1.7674217193156201</v>
      </c>
      <c r="D146" s="30">
        <f t="shared" si="15"/>
        <v>0.41783182292744386</v>
      </c>
      <c r="E146" s="30">
        <f t="shared" si="17"/>
        <v>20.887650000000047</v>
      </c>
      <c r="F146" s="30">
        <f t="shared" si="13"/>
        <v>47.762325936089169</v>
      </c>
    </row>
    <row r="147" spans="1:6">
      <c r="A147" s="30">
        <f t="shared" si="16"/>
        <v>0.42097341558103368</v>
      </c>
      <c r="B147">
        <f t="shared" si="12"/>
        <v>-1.7791171528706768</v>
      </c>
      <c r="C147" s="30">
        <f t="shared" si="14"/>
        <v>1.7791171528706768</v>
      </c>
      <c r="D147" s="30">
        <f t="shared" si="15"/>
        <v>0.42097341558103368</v>
      </c>
      <c r="E147" s="30">
        <f t="shared" si="17"/>
        <v>21.044700000000049</v>
      </c>
      <c r="F147" s="30">
        <f t="shared" si="13"/>
        <v>47.759899298719837</v>
      </c>
    </row>
    <row r="148" spans="1:6">
      <c r="A148" s="30">
        <f t="shared" si="16"/>
        <v>0.4241150082346235</v>
      </c>
      <c r="B148">
        <f t="shared" si="12"/>
        <v>-1.7909998124395026</v>
      </c>
      <c r="C148" s="30">
        <f t="shared" si="14"/>
        <v>1.7909998124395026</v>
      </c>
      <c r="D148" s="30">
        <f t="shared" si="15"/>
        <v>0.4241150082346235</v>
      </c>
      <c r="E148" s="30">
        <f t="shared" si="17"/>
        <v>21.20175000000005</v>
      </c>
      <c r="F148" s="30">
        <f t="shared" si="13"/>
        <v>47.757459687157251</v>
      </c>
    </row>
    <row r="149" spans="1:6">
      <c r="A149" s="30">
        <f t="shared" si="16"/>
        <v>0.42725660088821332</v>
      </c>
      <c r="B149">
        <f t="shared" si="12"/>
        <v>-1.8030744703679213</v>
      </c>
      <c r="C149" s="30">
        <f t="shared" si="14"/>
        <v>1.8030744703679213</v>
      </c>
      <c r="D149" s="30">
        <f t="shared" si="15"/>
        <v>0.42725660088821332</v>
      </c>
      <c r="E149" s="30">
        <f t="shared" si="17"/>
        <v>21.358800000000052</v>
      </c>
      <c r="F149" s="30">
        <f t="shared" si="13"/>
        <v>47.755007197713091</v>
      </c>
    </row>
    <row r="150" spans="1:6">
      <c r="A150" s="30">
        <f t="shared" si="16"/>
        <v>0.43039819354180314</v>
      </c>
      <c r="B150">
        <f t="shared" si="12"/>
        <v>-1.8153460621846029</v>
      </c>
      <c r="C150" s="30">
        <f t="shared" si="14"/>
        <v>1.8153460621846029</v>
      </c>
      <c r="D150" s="30">
        <f t="shared" si="15"/>
        <v>0.43039819354180314</v>
      </c>
      <c r="E150" s="30">
        <f t="shared" si="17"/>
        <v>21.515850000000054</v>
      </c>
      <c r="F150" s="30">
        <f t="shared" si="13"/>
        <v>47.752541927207439</v>
      </c>
    </row>
    <row r="151" spans="1:6">
      <c r="A151" s="30">
        <f t="shared" si="16"/>
        <v>0.43353978619539296</v>
      </c>
      <c r="B151">
        <f t="shared" si="12"/>
        <v>-1.8278196936399864</v>
      </c>
      <c r="C151" s="30">
        <f t="shared" si="14"/>
        <v>1.8278196936399864</v>
      </c>
      <c r="D151" s="30">
        <f t="shared" si="15"/>
        <v>0.43353978619539296</v>
      </c>
      <c r="E151" s="30">
        <f t="shared" si="17"/>
        <v>21.672900000000055</v>
      </c>
      <c r="F151" s="30">
        <f t="shared" si="13"/>
        <v>47.750063972964959</v>
      </c>
    </row>
    <row r="152" spans="1:6">
      <c r="A152" s="30">
        <f t="shared" si="16"/>
        <v>0.43668137884898278</v>
      </c>
      <c r="B152">
        <f t="shared" si="12"/>
        <v>-1.8405006481127097</v>
      </c>
      <c r="C152" s="30">
        <f t="shared" si="14"/>
        <v>1.8405006481127097</v>
      </c>
      <c r="D152" s="30">
        <f t="shared" si="15"/>
        <v>0.43668137884898278</v>
      </c>
      <c r="E152" s="30">
        <f t="shared" si="17"/>
        <v>21.829950000000057</v>
      </c>
      <c r="F152" s="30">
        <f t="shared" si="13"/>
        <v>47.747573432811038</v>
      </c>
    </row>
    <row r="153" spans="1:6">
      <c r="A153" s="30">
        <f t="shared" si="16"/>
        <v>0.4398229715025726</v>
      </c>
      <c r="B153">
        <f t="shared" si="12"/>
        <v>-1.8533943944061231</v>
      </c>
      <c r="C153" s="30">
        <f t="shared" si="14"/>
        <v>1.8533943944061231</v>
      </c>
      <c r="D153" s="30">
        <f t="shared" si="15"/>
        <v>0.4398229715025726</v>
      </c>
      <c r="E153" s="30">
        <f t="shared" si="17"/>
        <v>21.987000000000059</v>
      </c>
      <c r="F153" s="30">
        <f t="shared" si="13"/>
        <v>47.745070405067935</v>
      </c>
    </row>
    <row r="154" spans="1:6">
      <c r="A154" s="30">
        <f t="shared" si="16"/>
        <v>0.44296456415616242</v>
      </c>
      <c r="B154">
        <f t="shared" si="12"/>
        <v>-1.8665065949590731</v>
      </c>
      <c r="C154" s="30">
        <f t="shared" si="14"/>
        <v>1.8665065949590731</v>
      </c>
      <c r="D154" s="30">
        <f t="shared" si="15"/>
        <v>0.44296456415616242</v>
      </c>
      <c r="E154" s="30">
        <f t="shared" si="17"/>
        <v>22.14405000000006</v>
      </c>
      <c r="F154" s="30">
        <f t="shared" si="13"/>
        <v>47.742554988550907</v>
      </c>
    </row>
    <row r="155" spans="1:6">
      <c r="A155" s="30">
        <f t="shared" si="16"/>
        <v>0.44610615680975224</v>
      </c>
      <c r="B155">
        <f t="shared" si="12"/>
        <v>-1.8798431144968635</v>
      </c>
      <c r="C155" s="30">
        <f t="shared" si="14"/>
        <v>1.8798431144968635</v>
      </c>
      <c r="D155" s="30">
        <f t="shared" si="15"/>
        <v>0.44610615680975224</v>
      </c>
      <c r="E155" s="30">
        <f t="shared" si="17"/>
        <v>22.301100000000062</v>
      </c>
      <c r="F155" s="30">
        <f t="shared" si="13"/>
        <v>47.740027282564284</v>
      </c>
    </row>
    <row r="156" spans="1:6">
      <c r="A156" s="30">
        <f t="shared" si="16"/>
        <v>0.44924774946334206</v>
      </c>
      <c r="B156">
        <f t="shared" si="12"/>
        <v>-1.8934100291501725</v>
      </c>
      <c r="C156" s="30">
        <f t="shared" si="14"/>
        <v>1.8934100291501725</v>
      </c>
      <c r="D156" s="30">
        <f t="shared" si="15"/>
        <v>0.44924774946334206</v>
      </c>
      <c r="E156" s="30">
        <f t="shared" si="17"/>
        <v>22.458150000000064</v>
      </c>
      <c r="F156" s="30">
        <f t="shared" si="13"/>
        <v>47.73748738689757</v>
      </c>
    </row>
    <row r="157" spans="1:6">
      <c r="A157" s="30">
        <f t="shared" si="16"/>
        <v>0.45238934211693188</v>
      </c>
      <c r="B157">
        <f t="shared" si="12"/>
        <v>-1.9072136360717298</v>
      </c>
      <c r="C157" s="30">
        <f t="shared" si="14"/>
        <v>1.9072136360717298</v>
      </c>
      <c r="D157" s="30">
        <f t="shared" si="15"/>
        <v>0.45238934211693188</v>
      </c>
      <c r="E157" s="30">
        <f t="shared" si="17"/>
        <v>22.615200000000065</v>
      </c>
      <c r="F157" s="30">
        <f t="shared" si="13"/>
        <v>47.734935401821502</v>
      </c>
    </row>
    <row r="158" spans="1:6">
      <c r="A158" s="30">
        <f t="shared" si="16"/>
        <v>0.4555309347705217</v>
      </c>
      <c r="B158">
        <f t="shared" si="12"/>
        <v>-1.9212604635827433</v>
      </c>
      <c r="C158" s="30">
        <f t="shared" si="14"/>
        <v>1.9212604635827433</v>
      </c>
      <c r="D158" s="30">
        <f t="shared" si="15"/>
        <v>0.4555309347705217</v>
      </c>
      <c r="E158" s="30">
        <f t="shared" si="17"/>
        <v>22.772250000000067</v>
      </c>
      <c r="F158" s="30">
        <f t="shared" si="13"/>
        <v>47.732371428084079</v>
      </c>
    </row>
    <row r="159" spans="1:6">
      <c r="A159" s="30">
        <f t="shared" si="16"/>
        <v>0.45867252742411152</v>
      </c>
      <c r="B159">
        <f t="shared" si="12"/>
        <v>-1.9355572818834312</v>
      </c>
      <c r="C159" s="30">
        <f t="shared" si="14"/>
        <v>1.9355572818834312</v>
      </c>
      <c r="D159" s="30">
        <f t="shared" si="15"/>
        <v>0.45867252742411152</v>
      </c>
      <c r="E159" s="30">
        <f t="shared" si="17"/>
        <v>22.929300000000069</v>
      </c>
      <c r="F159" s="30">
        <f t="shared" si="13"/>
        <v>47.729795566906596</v>
      </c>
    </row>
    <row r="160" spans="1:6">
      <c r="A160" s="30">
        <f t="shared" si="16"/>
        <v>0.46181412007770134</v>
      </c>
      <c r="B160">
        <f t="shared" si="12"/>
        <v>-1.9501111143646006</v>
      </c>
      <c r="C160" s="30">
        <f t="shared" si="14"/>
        <v>1.9501111143646006</v>
      </c>
      <c r="D160" s="30">
        <f t="shared" si="15"/>
        <v>0.46181412007770134</v>
      </c>
      <c r="E160" s="30">
        <f t="shared" si="17"/>
        <v>23.086350000000071</v>
      </c>
      <c r="F160" s="30">
        <f t="shared" si="13"/>
        <v>47.727207919979634</v>
      </c>
    </row>
    <row r="161" spans="1:6">
      <c r="A161" s="30">
        <f t="shared" si="16"/>
        <v>0.46495571273129116</v>
      </c>
      <c r="B161">
        <f t="shared" si="12"/>
        <v>-1.9649292495599877</v>
      </c>
      <c r="C161" s="30">
        <f t="shared" si="14"/>
        <v>1.9649292495599877</v>
      </c>
      <c r="D161" s="30">
        <f t="shared" si="15"/>
        <v>0.46495571273129116</v>
      </c>
      <c r="E161" s="30">
        <f t="shared" si="17"/>
        <v>23.243400000000072</v>
      </c>
      <c r="F161" s="30">
        <f t="shared" si="13"/>
        <v>47.724608589459073</v>
      </c>
    </row>
    <row r="162" spans="1:6">
      <c r="A162" s="30">
        <f t="shared" si="16"/>
        <v>0.46809730538488098</v>
      </c>
      <c r="B162">
        <f t="shared" si="12"/>
        <v>-1.980019253782112</v>
      </c>
      <c r="C162" s="30">
        <f t="shared" si="14"/>
        <v>1.980019253782112</v>
      </c>
      <c r="D162" s="30">
        <f t="shared" si="15"/>
        <v>0.46809730538488098</v>
      </c>
      <c r="E162" s="30">
        <f t="shared" si="17"/>
        <v>23.400450000000074</v>
      </c>
      <c r="F162" s="30">
        <f t="shared" si="13"/>
        <v>47.721997677962023</v>
      </c>
    </row>
    <row r="163" spans="1:6">
      <c r="A163" s="30">
        <f t="shared" si="16"/>
        <v>0.4712388980384708</v>
      </c>
      <c r="B163">
        <f t="shared" si="12"/>
        <v>-1.9953889844876869</v>
      </c>
      <c r="C163" s="30">
        <f t="shared" si="14"/>
        <v>1.9953889844876869</v>
      </c>
      <c r="D163" s="30">
        <f t="shared" si="15"/>
        <v>0.4712388980384708</v>
      </c>
      <c r="E163" s="30">
        <f t="shared" si="17"/>
        <v>23.557500000000076</v>
      </c>
      <c r="F163" s="30">
        <f t="shared" si="13"/>
        <v>47.719375288562802</v>
      </c>
    </row>
    <row r="164" spans="1:6">
      <c r="A164" s="30">
        <f t="shared" si="16"/>
        <v>0.47438049069206062</v>
      </c>
      <c r="B164">
        <f t="shared" si="12"/>
        <v>-2.0110466044222068</v>
      </c>
      <c r="C164" s="30">
        <f t="shared" si="14"/>
        <v>2.0110466044222068</v>
      </c>
      <c r="D164" s="30">
        <f t="shared" si="15"/>
        <v>0.47438049069206062</v>
      </c>
      <c r="E164" s="30">
        <f t="shared" si="17"/>
        <v>23.714550000000077</v>
      </c>
      <c r="F164" s="30">
        <f t="shared" si="13"/>
        <v>47.716741524788858</v>
      </c>
    </row>
    <row r="165" spans="1:6">
      <c r="A165" s="30">
        <f t="shared" si="16"/>
        <v>0.47752208334565044</v>
      </c>
      <c r="B165">
        <f t="shared" si="12"/>
        <v>-2.0270005965972251</v>
      </c>
      <c r="C165" s="30">
        <f t="shared" si="14"/>
        <v>2.0270005965972251</v>
      </c>
      <c r="D165" s="30">
        <f t="shared" si="15"/>
        <v>0.47752208334565044</v>
      </c>
      <c r="E165" s="30">
        <f t="shared" si="17"/>
        <v>23.871600000000079</v>
      </c>
      <c r="F165" s="30">
        <f t="shared" si="13"/>
        <v>47.714096490616669</v>
      </c>
    </row>
    <row r="166" spans="1:6">
      <c r="A166" s="30">
        <f t="shared" si="16"/>
        <v>0.48066367599924026</v>
      </c>
      <c r="B166">
        <f t="shared" si="12"/>
        <v>-2.0432597801580821</v>
      </c>
      <c r="C166" s="30">
        <f t="shared" si="14"/>
        <v>2.0432597801580821</v>
      </c>
      <c r="D166" s="30">
        <f t="shared" si="15"/>
        <v>0.48066367599924026</v>
      </c>
      <c r="E166" s="30">
        <f t="shared" si="17"/>
        <v>24.028650000000081</v>
      </c>
      <c r="F166" s="30">
        <f t="shared" si="13"/>
        <v>47.711440290467657</v>
      </c>
    </row>
    <row r="167" spans="1:6">
      <c r="A167" s="30">
        <f t="shared" si="16"/>
        <v>0.48380526865283008</v>
      </c>
      <c r="B167">
        <f t="shared" si="12"/>
        <v>-2.0598333272044638</v>
      </c>
      <c r="C167" s="30">
        <f t="shared" si="14"/>
        <v>2.0598333272044638</v>
      </c>
      <c r="D167" s="30">
        <f t="shared" si="15"/>
        <v>0.48380526865283008</v>
      </c>
      <c r="E167" s="30">
        <f t="shared" si="17"/>
        <v>24.185700000000082</v>
      </c>
      <c r="F167" s="30">
        <f t="shared" si="13"/>
        <v>47.708773029204053</v>
      </c>
    </row>
    <row r="168" spans="1:6">
      <c r="A168" s="30">
        <f t="shared" si="16"/>
        <v>0.4869468613064199</v>
      </c>
      <c r="B168">
        <f t="shared" si="12"/>
        <v>-2.0767307806312179</v>
      </c>
      <c r="C168" s="30">
        <f t="shared" si="14"/>
        <v>2.0767307806312179</v>
      </c>
      <c r="D168" s="30">
        <f t="shared" si="15"/>
        <v>0.4869468613064199</v>
      </c>
      <c r="E168" s="30">
        <f t="shared" si="17"/>
        <v>24.342750000000084</v>
      </c>
      <c r="F168" s="30">
        <f t="shared" si="13"/>
        <v>47.706094812124768</v>
      </c>
    </row>
    <row r="169" spans="1:6">
      <c r="A169" s="30">
        <f t="shared" si="16"/>
        <v>0.49008845396000972</v>
      </c>
      <c r="B169">
        <f t="shared" si="12"/>
        <v>-2.0939620730623636</v>
      </c>
      <c r="C169" s="30">
        <f t="shared" si="14"/>
        <v>2.0939620730623636</v>
      </c>
      <c r="D169" s="30">
        <f t="shared" si="15"/>
        <v>0.49008845396000972</v>
      </c>
      <c r="E169" s="30">
        <f t="shared" si="17"/>
        <v>24.499800000000086</v>
      </c>
      <c r="F169" s="30">
        <f t="shared" si="13"/>
        <v>47.703405744961231</v>
      </c>
    </row>
    <row r="170" spans="1:6">
      <c r="A170" s="30">
        <f t="shared" si="16"/>
        <v>0.49323004661359954</v>
      </c>
      <c r="B170">
        <f t="shared" si="12"/>
        <v>-2.1115375469572539</v>
      </c>
      <c r="C170" s="30">
        <f t="shared" si="14"/>
        <v>2.1115375469572539</v>
      </c>
      <c r="D170" s="30">
        <f t="shared" si="15"/>
        <v>0.49323004661359954</v>
      </c>
      <c r="E170" s="30">
        <f t="shared" si="17"/>
        <v>24.656850000000087</v>
      </c>
      <c r="F170" s="30">
        <f t="shared" si="13"/>
        <v>47.700705933873195</v>
      </c>
    </row>
    <row r="171" spans="1:6">
      <c r="A171" s="30">
        <f t="shared" si="16"/>
        <v>0.49637163926718936</v>
      </c>
      <c r="B171">
        <f t="shared" si="12"/>
        <v>-2.1294679759744257</v>
      </c>
      <c r="C171" s="30">
        <f t="shared" si="14"/>
        <v>2.1294679759744257</v>
      </c>
      <c r="D171" s="30">
        <f t="shared" si="15"/>
        <v>0.49637163926718936</v>
      </c>
      <c r="E171" s="30">
        <f t="shared" si="17"/>
        <v>24.813900000000089</v>
      </c>
      <c r="F171" s="30">
        <f t="shared" si="13"/>
        <v>47.697995485444594</v>
      </c>
    </row>
    <row r="172" spans="1:6">
      <c r="A172" s="30">
        <f t="shared" si="16"/>
        <v>0.49951323192077918</v>
      </c>
      <c r="B172">
        <f t="shared" si="12"/>
        <v>-2.1477645876858924</v>
      </c>
      <c r="C172" s="30">
        <f t="shared" si="14"/>
        <v>2.1477645876858924</v>
      </c>
      <c r="D172" s="30">
        <f t="shared" si="15"/>
        <v>0.49951323192077918</v>
      </c>
      <c r="E172" s="30">
        <f t="shared" si="17"/>
        <v>24.970950000000091</v>
      </c>
      <c r="F172" s="30">
        <f t="shared" si="13"/>
        <v>47.695274506679283</v>
      </c>
    </row>
    <row r="173" spans="1:6">
      <c r="A173" s="30">
        <f t="shared" si="16"/>
        <v>0.50265482457436894</v>
      </c>
      <c r="B173">
        <f t="shared" si="12"/>
        <v>-2.1664390877425355</v>
      </c>
      <c r="C173" s="30">
        <f t="shared" si="14"/>
        <v>2.1664390877425355</v>
      </c>
      <c r="D173" s="30">
        <f t="shared" si="15"/>
        <v>0.50265482457436894</v>
      </c>
      <c r="E173" s="30">
        <f t="shared" si="17"/>
        <v>25.128000000000092</v>
      </c>
      <c r="F173" s="30">
        <f t="shared" si="13"/>
        <v>47.692543104996851</v>
      </c>
    </row>
    <row r="174" spans="1:6">
      <c r="A174" s="30">
        <f t="shared" si="16"/>
        <v>0.50579641722795876</v>
      </c>
      <c r="B174">
        <f t="shared" si="12"/>
        <v>-2.1855036855998993</v>
      </c>
      <c r="C174" s="30">
        <f t="shared" si="14"/>
        <v>2.1855036855998993</v>
      </c>
      <c r="D174" s="30">
        <f t="shared" si="15"/>
        <v>0.50579641722795876</v>
      </c>
      <c r="E174" s="30">
        <f t="shared" si="17"/>
        <v>25.285050000000094</v>
      </c>
      <c r="F174" s="30">
        <f t="shared" si="13"/>
        <v>47.689801388228354</v>
      </c>
    </row>
    <row r="175" spans="1:6">
      <c r="A175" s="30">
        <f t="shared" si="16"/>
        <v>0.50893800988154858</v>
      </c>
      <c r="B175">
        <f t="shared" si="12"/>
        <v>-2.2049711219232315</v>
      </c>
      <c r="C175" s="30">
        <f t="shared" si="14"/>
        <v>2.2049711219232315</v>
      </c>
      <c r="D175" s="30">
        <f t="shared" si="15"/>
        <v>0.50893800988154858</v>
      </c>
      <c r="E175" s="30">
        <f t="shared" si="17"/>
        <v>25.442100000000096</v>
      </c>
      <c r="F175" s="30">
        <f t="shared" si="13"/>
        <v>47.687049464612073</v>
      </c>
    </row>
    <row r="176" spans="1:6">
      <c r="A176" s="30">
        <f t="shared" si="16"/>
        <v>0.5120796025351384</v>
      </c>
      <c r="B176">
        <f t="shared" si="12"/>
        <v>-2.2248546978010544</v>
      </c>
      <c r="C176" s="30">
        <f t="shared" si="14"/>
        <v>2.2248546978010544</v>
      </c>
      <c r="D176" s="30">
        <f t="shared" si="15"/>
        <v>0.5120796025351384</v>
      </c>
      <c r="E176" s="30">
        <f t="shared" si="17"/>
        <v>25.599150000000098</v>
      </c>
      <c r="F176" s="30">
        <f t="shared" si="13"/>
        <v>47.684287442789241</v>
      </c>
    </row>
    <row r="177" spans="1:6">
      <c r="A177" s="30">
        <f t="shared" si="16"/>
        <v>0.51522119518872822</v>
      </c>
      <c r="B177">
        <f t="shared" si="12"/>
        <v>-2.2451683059080541</v>
      </c>
      <c r="C177" s="30">
        <f t="shared" si="14"/>
        <v>2.2451683059080541</v>
      </c>
      <c r="D177" s="30">
        <f t="shared" si="15"/>
        <v>0.51522119518872822</v>
      </c>
      <c r="E177" s="30">
        <f t="shared" si="17"/>
        <v>25.756200000000099</v>
      </c>
      <c r="F177" s="30">
        <f t="shared" si="13"/>
        <v>47.68151543179976</v>
      </c>
    </row>
    <row r="178" spans="1:6">
      <c r="A178" s="30">
        <f t="shared" si="16"/>
        <v>0.51836278784231804</v>
      </c>
      <c r="B178">
        <f t="shared" si="12"/>
        <v>-2.2659264637707488</v>
      </c>
      <c r="C178" s="30">
        <f t="shared" si="14"/>
        <v>2.2659264637707488</v>
      </c>
      <c r="D178" s="30">
        <f t="shared" si="15"/>
        <v>0.51836278784231804</v>
      </c>
      <c r="E178" s="30">
        <f t="shared" si="17"/>
        <v>25.913250000000101</v>
      </c>
      <c r="F178" s="30">
        <f t="shared" si="13"/>
        <v>47.678733541077868</v>
      </c>
    </row>
    <row r="179" spans="1:6">
      <c r="A179" s="30">
        <f t="shared" si="16"/>
        <v>0.52150438049590786</v>
      </c>
      <c r="B179">
        <f t="shared" si="12"/>
        <v>-2.2871443493033459</v>
      </c>
      <c r="C179" s="30">
        <f t="shared" si="14"/>
        <v>2.2871443493033459</v>
      </c>
      <c r="D179" s="30">
        <f t="shared" si="15"/>
        <v>0.52150438049590786</v>
      </c>
      <c r="E179" s="30">
        <f t="shared" si="17"/>
        <v>26.070300000000103</v>
      </c>
      <c r="F179" s="30">
        <f t="shared" si="13"/>
        <v>47.675941880447844</v>
      </c>
    </row>
    <row r="180" spans="1:6">
      <c r="A180" s="30">
        <f t="shared" si="16"/>
        <v>0.52464597314949768</v>
      </c>
      <c r="B180">
        <f t="shared" si="12"/>
        <v>-2.3088378387966353</v>
      </c>
      <c r="C180" s="30">
        <f t="shared" si="14"/>
        <v>2.3088378387966353</v>
      </c>
      <c r="D180" s="30">
        <f t="shared" si="15"/>
        <v>0.52464597314949768</v>
      </c>
      <c r="E180" s="30">
        <f t="shared" si="17"/>
        <v>26.227350000000104</v>
      </c>
      <c r="F180" s="30">
        <f t="shared" si="13"/>
        <v>47.673140560119684</v>
      </c>
    </row>
    <row r="181" spans="1:6">
      <c r="A181" s="30">
        <f t="shared" si="16"/>
        <v>0.5277875658030875</v>
      </c>
      <c r="B181">
        <f t="shared" si="12"/>
        <v>-2.3310235475597492</v>
      </c>
      <c r="C181" s="30">
        <f t="shared" si="14"/>
        <v>2.3310235475597492</v>
      </c>
      <c r="D181" s="30">
        <f t="shared" si="15"/>
        <v>0.5277875658030875</v>
      </c>
      <c r="E181" s="30">
        <f t="shared" si="17"/>
        <v>26.384400000000106</v>
      </c>
      <c r="F181" s="30">
        <f t="shared" si="13"/>
        <v>47.670329690684703</v>
      </c>
    </row>
    <row r="182" spans="1:6">
      <c r="A182" s="30">
        <f t="shared" si="16"/>
        <v>0.53092915845667732</v>
      </c>
      <c r="B182">
        <f t="shared" si="12"/>
        <v>-2.3537188734334991</v>
      </c>
      <c r="C182" s="30">
        <f t="shared" si="14"/>
        <v>2.3537188734334991</v>
      </c>
      <c r="D182" s="30">
        <f t="shared" si="15"/>
        <v>0.53092915845667732</v>
      </c>
      <c r="E182" s="30">
        <f t="shared" si="17"/>
        <v>26.541450000000108</v>
      </c>
      <c r="F182" s="30">
        <f t="shared" si="13"/>
        <v>47.667509383111224</v>
      </c>
    </row>
    <row r="183" spans="1:6">
      <c r="A183" s="30">
        <f t="shared" si="16"/>
        <v>0.53407075111026714</v>
      </c>
      <c r="B183">
        <f t="shared" si="12"/>
        <v>-2.3769420434147777</v>
      </c>
      <c r="C183" s="30">
        <f t="shared" si="14"/>
        <v>2.3769420434147777</v>
      </c>
      <c r="D183" s="30">
        <f t="shared" si="15"/>
        <v>0.53407075111026714</v>
      </c>
      <c r="E183" s="30">
        <f t="shared" si="17"/>
        <v>26.698500000000109</v>
      </c>
      <c r="F183" s="30">
        <f t="shared" si="13"/>
        <v>47.664679748740156</v>
      </c>
    </row>
    <row r="184" spans="1:6">
      <c r="A184" s="30">
        <f t="shared" si="16"/>
        <v>0.53721234376385696</v>
      </c>
      <c r="B184">
        <f t="shared" si="12"/>
        <v>-2.4007121636546951</v>
      </c>
      <c r="C184" s="30">
        <f t="shared" si="14"/>
        <v>2.4007121636546951</v>
      </c>
      <c r="D184" s="30">
        <f t="shared" si="15"/>
        <v>0.53721234376385696</v>
      </c>
      <c r="E184" s="30">
        <f t="shared" si="17"/>
        <v>26.855550000000111</v>
      </c>
      <c r="F184" s="30">
        <f t="shared" si="13"/>
        <v>47.661840899280612</v>
      </c>
    </row>
    <row r="185" spans="1:6">
      <c r="A185" s="30">
        <f t="shared" si="16"/>
        <v>0.54035393641744678</v>
      </c>
      <c r="B185">
        <f t="shared" si="12"/>
        <v>-2.4250492731187272</v>
      </c>
      <c r="C185" s="30">
        <f t="shared" si="14"/>
        <v>2.4250492731187272</v>
      </c>
      <c r="D185" s="30">
        <f t="shared" si="15"/>
        <v>0.54035393641744678</v>
      </c>
      <c r="E185" s="30">
        <f t="shared" si="17"/>
        <v>27.012600000000113</v>
      </c>
      <c r="F185" s="30">
        <f t="shared" si="13"/>
        <v>47.658992946805519</v>
      </c>
    </row>
    <row r="186" spans="1:6">
      <c r="A186" s="30">
        <f t="shared" si="16"/>
        <v>0.5434955290710366</v>
      </c>
      <c r="B186">
        <f t="shared" si="12"/>
        <v>-2.4499744012256519</v>
      </c>
      <c r="C186" s="30">
        <f t="shared" si="14"/>
        <v>2.4499744012256519</v>
      </c>
      <c r="D186" s="30">
        <f t="shared" si="15"/>
        <v>0.5434955290710366</v>
      </c>
      <c r="E186" s="30">
        <f t="shared" si="17"/>
        <v>27.169650000000114</v>
      </c>
      <c r="F186" s="30">
        <f t="shared" si="13"/>
        <v>47.656136003747164</v>
      </c>
    </row>
    <row r="187" spans="1:6">
      <c r="A187" s="30">
        <f t="shared" si="16"/>
        <v>0.54663712172462642</v>
      </c>
      <c r="B187">
        <f t="shared" si="12"/>
        <v>-2.4755096298137707</v>
      </c>
      <c r="C187" s="30">
        <f t="shared" si="14"/>
        <v>2.4755096298137707</v>
      </c>
      <c r="D187" s="30">
        <f t="shared" si="15"/>
        <v>0.54663712172462642</v>
      </c>
      <c r="E187" s="30">
        <f t="shared" si="17"/>
        <v>27.326700000000116</v>
      </c>
      <c r="F187" s="30">
        <f t="shared" si="13"/>
        <v>47.653270182892761</v>
      </c>
    </row>
    <row r="188" spans="1:6">
      <c r="A188" s="30">
        <f t="shared" si="16"/>
        <v>0.54977871437821624</v>
      </c>
      <c r="B188">
        <f t="shared" si="12"/>
        <v>-2.5016781598182547</v>
      </c>
      <c r="C188" s="30">
        <f t="shared" si="14"/>
        <v>2.5016781598182547</v>
      </c>
      <c r="D188" s="30">
        <f t="shared" si="15"/>
        <v>0.54977871437821624</v>
      </c>
      <c r="E188" s="30">
        <f t="shared" si="17"/>
        <v>27.483750000000118</v>
      </c>
      <c r="F188" s="30">
        <f t="shared" si="13"/>
        <v>47.650395597380012</v>
      </c>
    </row>
    <row r="189" spans="1:6">
      <c r="A189" s="30">
        <f t="shared" si="16"/>
        <v>0.55292030703180606</v>
      </c>
      <c r="B189">
        <f t="shared" si="12"/>
        <v>-2.5285043830828373</v>
      </c>
      <c r="C189" s="30">
        <f t="shared" si="14"/>
        <v>2.5285043830828373</v>
      </c>
      <c r="D189" s="30">
        <f t="shared" si="15"/>
        <v>0.55292030703180606</v>
      </c>
      <c r="E189" s="30">
        <f t="shared" si="17"/>
        <v>27.640800000000119</v>
      </c>
      <c r="F189" s="30">
        <f t="shared" si="13"/>
        <v>47.647512360692637</v>
      </c>
    </row>
    <row r="190" spans="1:6">
      <c r="A190" s="30">
        <f t="shared" si="16"/>
        <v>0.55606189968539588</v>
      </c>
      <c r="B190">
        <f t="shared" si="12"/>
        <v>-2.5560139597730926</v>
      </c>
      <c r="C190" s="30">
        <f t="shared" si="14"/>
        <v>2.5560139597730926</v>
      </c>
      <c r="D190" s="30">
        <f t="shared" si="15"/>
        <v>0.55606189968539588</v>
      </c>
      <c r="E190" s="30">
        <f t="shared" si="17"/>
        <v>27.797850000000121</v>
      </c>
      <c r="F190" s="30">
        <f t="shared" si="13"/>
        <v>47.644620586655869</v>
      </c>
    </row>
    <row r="191" spans="1:6">
      <c r="A191" s="30">
        <f t="shared" si="16"/>
        <v>0.5592034923389857</v>
      </c>
      <c r="B191">
        <f t="shared" si="12"/>
        <v>-2.5842339019078016</v>
      </c>
      <c r="C191" s="30">
        <f t="shared" si="14"/>
        <v>2.5842339019078016</v>
      </c>
      <c r="D191" s="30">
        <f t="shared" si="15"/>
        <v>0.5592034923389857</v>
      </c>
      <c r="E191" s="30">
        <f t="shared" si="17"/>
        <v>27.954900000000123</v>
      </c>
      <c r="F191" s="30">
        <f t="shared" si="13"/>
        <v>47.64172038943201</v>
      </c>
    </row>
    <row r="192" spans="1:6">
      <c r="A192" s="30">
        <f t="shared" si="16"/>
        <v>0.56234508499257552</v>
      </c>
      <c r="B192">
        <f t="shared" si="12"/>
        <v>-2.6131926635800315</v>
      </c>
      <c r="C192" s="30">
        <f t="shared" si="14"/>
        <v>2.6131926635800315</v>
      </c>
      <c r="D192" s="30">
        <f t="shared" si="15"/>
        <v>0.56234508499257552</v>
      </c>
      <c r="E192" s="30">
        <f t="shared" si="17"/>
        <v>28.111950000000125</v>
      </c>
      <c r="F192" s="30">
        <f t="shared" si="13"/>
        <v>47.638811883515878</v>
      </c>
    </row>
    <row r="193" spans="1:6">
      <c r="A193" s="30">
        <f t="shared" si="16"/>
        <v>0.56548667764616534</v>
      </c>
      <c r="B193">
        <f t="shared" si="12"/>
        <v>-2.6429202385014472</v>
      </c>
      <c r="C193" s="30">
        <f t="shared" si="14"/>
        <v>2.6429202385014472</v>
      </c>
      <c r="D193" s="30">
        <f t="shared" si="15"/>
        <v>0.56548667764616534</v>
      </c>
      <c r="E193" s="30">
        <f t="shared" si="17"/>
        <v>28.269000000000126</v>
      </c>
      <c r="F193" s="30">
        <f t="shared" si="13"/>
        <v>47.635895183730298</v>
      </c>
    </row>
    <row r="194" spans="1:6">
      <c r="A194" s="30">
        <f t="shared" si="16"/>
        <v>0.56862827029975516</v>
      </c>
      <c r="B194">
        <f t="shared" si="12"/>
        <v>-2.673448265572842</v>
      </c>
      <c r="C194" s="30">
        <f t="shared" si="14"/>
        <v>2.673448265572842</v>
      </c>
      <c r="D194" s="30">
        <f t="shared" si="15"/>
        <v>0.56862827029975516</v>
      </c>
      <c r="E194" s="30">
        <f t="shared" si="17"/>
        <v>28.426050000000128</v>
      </c>
      <c r="F194" s="30">
        <f t="shared" si="13"/>
        <v>47.632970405221592</v>
      </c>
    </row>
    <row r="195" spans="1:6">
      <c r="A195" s="30">
        <f t="shared" si="16"/>
        <v>0.57176986295334498</v>
      </c>
      <c r="B195">
        <f t="shared" si="12"/>
        <v>-2.7048101432620975</v>
      </c>
      <c r="C195" s="30">
        <f t="shared" si="14"/>
        <v>2.7048101432620975</v>
      </c>
      <c r="D195" s="30">
        <f t="shared" si="15"/>
        <v>0.57176986295334498</v>
      </c>
      <c r="E195" s="30">
        <f t="shared" si="17"/>
        <v>28.58310000000013</v>
      </c>
      <c r="F195" s="30">
        <f t="shared" si="13"/>
        <v>47.630037663454999</v>
      </c>
    </row>
    <row r="196" spans="1:6">
      <c r="A196" s="30">
        <f t="shared" si="16"/>
        <v>0.5749114556069348</v>
      </c>
      <c r="B196">
        <f t="shared" si="12"/>
        <v>-2.7370411536589119</v>
      </c>
      <c r="C196" s="30">
        <f t="shared" si="14"/>
        <v>2.7370411536589119</v>
      </c>
      <c r="D196" s="30">
        <f t="shared" si="15"/>
        <v>0.5749114556069348</v>
      </c>
      <c r="E196" s="30">
        <f t="shared" si="17"/>
        <v>28.740150000000131</v>
      </c>
      <c r="F196" s="30">
        <f t="shared" si="13"/>
        <v>47.627097074210148</v>
      </c>
    </row>
    <row r="197" spans="1:6">
      <c r="A197" s="30">
        <f t="shared" si="16"/>
        <v>0.57805304826052462</v>
      </c>
      <c r="B197">
        <f t="shared" si="12"/>
        <v>-2.7701785971750845</v>
      </c>
      <c r="C197" s="30">
        <f t="shared" si="14"/>
        <v>2.7701785971750845</v>
      </c>
      <c r="D197" s="30">
        <f t="shared" si="15"/>
        <v>0.57805304826052462</v>
      </c>
      <c r="E197" s="30">
        <f t="shared" si="17"/>
        <v>28.897200000000133</v>
      </c>
      <c r="F197" s="30">
        <f t="shared" si="13"/>
        <v>47.62414875357647</v>
      </c>
    </row>
    <row r="198" spans="1:6">
      <c r="A198" s="30">
        <f t="shared" si="16"/>
        <v>0.58119464091411444</v>
      </c>
      <c r="B198">
        <f t="shared" si="12"/>
        <v>-2.8042619389716057</v>
      </c>
      <c r="C198" s="30">
        <f t="shared" si="14"/>
        <v>2.8042619389716057</v>
      </c>
      <c r="D198" s="30">
        <f t="shared" si="15"/>
        <v>0.58119464091411444</v>
      </c>
      <c r="E198" s="30">
        <f t="shared" si="17"/>
        <v>29.054250000000135</v>
      </c>
      <c r="F198" s="30">
        <f t="shared" si="13"/>
        <v>47.621192817948618</v>
      </c>
    </row>
    <row r="199" spans="1:6">
      <c r="A199" s="30">
        <f t="shared" si="16"/>
        <v>0.58433623356770426</v>
      </c>
      <c r="B199">
        <f t="shared" si="12"/>
        <v>-2.839332968321159</v>
      </c>
      <c r="C199" s="30">
        <f t="shared" si="14"/>
        <v>2.839332968321159</v>
      </c>
      <c r="D199" s="30">
        <f t="shared" si="15"/>
        <v>0.58433623356770426</v>
      </c>
      <c r="E199" s="30">
        <f t="shared" si="17"/>
        <v>29.211300000000136</v>
      </c>
      <c r="F199" s="30">
        <f t="shared" si="13"/>
        <v>47.618229384021852</v>
      </c>
    </row>
    <row r="200" spans="1:6">
      <c r="A200" s="30">
        <f t="shared" si="16"/>
        <v>0.58747782622129407</v>
      </c>
      <c r="B200">
        <f t="shared" si="12"/>
        <v>-2.8754359722591363</v>
      </c>
      <c r="C200" s="30">
        <f t="shared" si="14"/>
        <v>2.8754359722591363</v>
      </c>
      <c r="D200" s="30">
        <f t="shared" si="15"/>
        <v>0.58747782622129407</v>
      </c>
      <c r="E200" s="30">
        <f t="shared" si="17"/>
        <v>29.368350000000138</v>
      </c>
      <c r="F200" s="30">
        <f t="shared" si="13"/>
        <v>47.615258568787489</v>
      </c>
    </row>
    <row r="201" spans="1:6">
      <c r="A201" s="30">
        <f t="shared" si="16"/>
        <v>0.59061941887488389</v>
      </c>
      <c r="B201">
        <f t="shared" si="12"/>
        <v>-2.9126179250404824</v>
      </c>
      <c r="C201" s="30">
        <f t="shared" si="14"/>
        <v>2.9126179250404824</v>
      </c>
      <c r="D201" s="30">
        <f t="shared" si="15"/>
        <v>0.59061941887488389</v>
      </c>
      <c r="E201" s="30">
        <f t="shared" si="17"/>
        <v>29.52540000000014</v>
      </c>
      <c r="F201" s="30">
        <f t="shared" si="13"/>
        <v>47.612280489528217</v>
      </c>
    </row>
    <row r="202" spans="1:6">
      <c r="A202" s="30">
        <f t="shared" si="16"/>
        <v>0.59376101152847371</v>
      </c>
      <c r="B202">
        <f t="shared" si="12"/>
        <v>-2.9509286951066258</v>
      </c>
      <c r="C202" s="30">
        <f t="shared" si="14"/>
        <v>2.9509286951066258</v>
      </c>
      <c r="D202" s="30">
        <f t="shared" si="15"/>
        <v>0.59376101152847371</v>
      </c>
      <c r="E202" s="30">
        <f t="shared" si="17"/>
        <v>29.682450000000141</v>
      </c>
      <c r="F202" s="30">
        <f t="shared" si="13"/>
        <v>47.609295263813507</v>
      </c>
    </row>
    <row r="203" spans="1:6">
      <c r="A203" s="30">
        <f t="shared" si="16"/>
        <v>0.59690260418206353</v>
      </c>
      <c r="B203">
        <f t="shared" si="12"/>
        <v>-2.9904212714801064</v>
      </c>
      <c r="C203" s="30">
        <f t="shared" si="14"/>
        <v>2.9904212714801064</v>
      </c>
      <c r="D203" s="30">
        <f t="shared" si="15"/>
        <v>0.59690260418206353</v>
      </c>
      <c r="E203" s="30">
        <f t="shared" si="17"/>
        <v>29.839500000000143</v>
      </c>
      <c r="F203" s="30">
        <f t="shared" si="13"/>
        <v>47.606303009494958</v>
      </c>
    </row>
    <row r="204" spans="1:6">
      <c r="A204" s="30">
        <f t="shared" si="16"/>
        <v>0.60004419683565335</v>
      </c>
      <c r="B204">
        <f t="shared" si="12"/>
        <v>-3.0311520117483122</v>
      </c>
      <c r="C204" s="30">
        <f t="shared" si="14"/>
        <v>3.0311520117483122</v>
      </c>
      <c r="D204" s="30">
        <f t="shared" si="15"/>
        <v>0.60004419683565335</v>
      </c>
      <c r="E204" s="30">
        <f t="shared" si="17"/>
        <v>29.996550000000145</v>
      </c>
      <c r="F204" s="30">
        <f t="shared" si="13"/>
        <v>47.603303844701657</v>
      </c>
    </row>
    <row r="205" spans="1:6">
      <c r="A205" s="30">
        <f t="shared" si="16"/>
        <v>0.60318578948924317</v>
      </c>
      <c r="B205">
        <f t="shared" ref="B205:B268" si="18">$H$3*(SIN($H$4+A205)-SIN($H$5+A205))/(SIN($H$4+A205)-SIN(A205))-$H$6</f>
        <v>-3.0731809140769824</v>
      </c>
      <c r="C205" s="30">
        <f t="shared" si="14"/>
        <v>3.0731809140769824</v>
      </c>
      <c r="D205" s="30">
        <f t="shared" si="15"/>
        <v>0.60318578948924317</v>
      </c>
      <c r="E205" s="30">
        <f t="shared" si="17"/>
        <v>30.153600000000147</v>
      </c>
      <c r="F205" s="30">
        <f t="shared" ref="F205:F268" si="19">$M$5*SIN(2*PI()/$B$7*E205+$M$4)+$M$6</f>
        <v>47.600297887835474</v>
      </c>
    </row>
    <row r="206" spans="1:6">
      <c r="A206" s="30">
        <f t="shared" si="16"/>
        <v>0.60632738214283299</v>
      </c>
      <c r="B206">
        <f t="shared" si="18"/>
        <v>-3.1165719160146277</v>
      </c>
      <c r="C206" s="30">
        <f t="shared" ref="C206:C269" si="20">ABS(B206)</f>
        <v>3.1165719160146277</v>
      </c>
      <c r="D206" s="30">
        <f t="shared" ref="D206:D269" si="21">A206</f>
        <v>0.60632738214283299</v>
      </c>
      <c r="E206" s="30">
        <f t="shared" si="17"/>
        <v>30.310650000000148</v>
      </c>
      <c r="F206" s="30">
        <f t="shared" si="19"/>
        <v>47.597285257566462</v>
      </c>
    </row>
    <row r="207" spans="1:6">
      <c r="A207" s="30">
        <f t="shared" ref="A207:A270" si="22">A206+PI()/1000</f>
        <v>0.60946897479642281</v>
      </c>
      <c r="B207">
        <f t="shared" si="18"/>
        <v>-3.1613932232177366</v>
      </c>
      <c r="C207" s="30">
        <f t="shared" si="20"/>
        <v>3.1613932232177366</v>
      </c>
      <c r="D207" s="30">
        <f t="shared" si="21"/>
        <v>0.60946897479642281</v>
      </c>
      <c r="E207" s="30">
        <f t="shared" ref="E207:E270" si="23">E206+$B$7/1000</f>
        <v>30.46770000000015</v>
      </c>
      <c r="F207" s="30">
        <f t="shared" si="19"/>
        <v>47.594266072828091</v>
      </c>
    </row>
    <row r="208" spans="1:6">
      <c r="A208" s="30">
        <f t="shared" si="22"/>
        <v>0.61261056745001263</v>
      </c>
      <c r="B208">
        <f t="shared" si="18"/>
        <v>-3.207717671651523</v>
      </c>
      <c r="C208" s="30">
        <f t="shared" si="20"/>
        <v>3.207717671651523</v>
      </c>
      <c r="D208" s="30">
        <f t="shared" si="21"/>
        <v>0.61261056745001263</v>
      </c>
      <c r="E208" s="30">
        <f t="shared" si="23"/>
        <v>30.624750000000152</v>
      </c>
      <c r="F208" s="30">
        <f t="shared" si="19"/>
        <v>47.591240452812606</v>
      </c>
    </row>
    <row r="209" spans="1:6">
      <c r="A209" s="30">
        <f t="shared" si="22"/>
        <v>0.61575216010360245</v>
      </c>
      <c r="B209">
        <f t="shared" si="18"/>
        <v>-3.2556231273120493</v>
      </c>
      <c r="C209" s="30">
        <f t="shared" si="20"/>
        <v>3.2556231273120493</v>
      </c>
      <c r="D209" s="30">
        <f t="shared" si="21"/>
        <v>0.61575216010360245</v>
      </c>
      <c r="E209" s="30">
        <f t="shared" si="23"/>
        <v>30.781800000000153</v>
      </c>
      <c r="F209" s="30">
        <f t="shared" si="19"/>
        <v>47.588208516966311</v>
      </c>
    </row>
    <row r="210" spans="1:6">
      <c r="A210" s="30">
        <f t="shared" si="22"/>
        <v>0.61889375275719227</v>
      </c>
      <c r="B210">
        <f t="shared" si="18"/>
        <v>-3.3051929280841157</v>
      </c>
      <c r="C210" s="30">
        <f t="shared" si="20"/>
        <v>3.3051929280841157</v>
      </c>
      <c r="D210" s="30">
        <f t="shared" si="21"/>
        <v>0.61889375275719227</v>
      </c>
      <c r="E210" s="30">
        <f t="shared" si="23"/>
        <v>30.938850000000155</v>
      </c>
      <c r="F210" s="30">
        <f t="shared" si="19"/>
        <v>47.585170384984835</v>
      </c>
    </row>
    <row r="211" spans="1:6">
      <c r="A211" s="30">
        <f t="shared" si="22"/>
        <v>0.62203534541078209</v>
      </c>
      <c r="B211">
        <f t="shared" si="18"/>
        <v>-3.3565163730095251</v>
      </c>
      <c r="C211" s="30">
        <f t="shared" si="20"/>
        <v>3.3565163730095251</v>
      </c>
      <c r="D211" s="30">
        <f t="shared" si="21"/>
        <v>0.62203534541078209</v>
      </c>
      <c r="E211" s="30">
        <f t="shared" si="23"/>
        <v>31.095900000000157</v>
      </c>
      <c r="F211" s="30">
        <f t="shared" si="19"/>
        <v>47.58212617680843</v>
      </c>
    </row>
    <row r="212" spans="1:6">
      <c r="A212" s="30">
        <f t="shared" si="22"/>
        <v>0.62517693806437191</v>
      </c>
      <c r="B212">
        <f t="shared" si="18"/>
        <v>-3.4096892650086619</v>
      </c>
      <c r="C212" s="30">
        <f t="shared" si="20"/>
        <v>3.4096892650086619</v>
      </c>
      <c r="D212" s="30">
        <f t="shared" si="21"/>
        <v>0.62517693806437191</v>
      </c>
      <c r="E212" s="30">
        <f t="shared" si="23"/>
        <v>31.252950000000158</v>
      </c>
      <c r="F212" s="30">
        <f t="shared" si="19"/>
        <v>47.579076012617222</v>
      </c>
    </row>
    <row r="213" spans="1:6">
      <c r="A213" s="30">
        <f t="shared" si="22"/>
        <v>0.62831853071796173</v>
      </c>
      <c r="B213">
        <f t="shared" si="18"/>
        <v>-3.4648145139949067</v>
      </c>
      <c r="C213" s="30">
        <f t="shared" si="20"/>
        <v>3.4648145139949067</v>
      </c>
      <c r="D213" s="30">
        <f t="shared" si="21"/>
        <v>0.62831853071796173</v>
      </c>
      <c r="E213" s="30">
        <f t="shared" si="23"/>
        <v>31.41000000000016</v>
      </c>
      <c r="F213" s="30">
        <f t="shared" si="19"/>
        <v>47.576020012826476</v>
      </c>
    </row>
    <row r="214" spans="1:6">
      <c r="A214" s="30">
        <f t="shared" si="22"/>
        <v>0.63146012337155155</v>
      </c>
      <c r="B214">
        <f t="shared" si="18"/>
        <v>-3.5220028083704822</v>
      </c>
      <c r="C214" s="30">
        <f t="shared" si="20"/>
        <v>3.5220028083704822</v>
      </c>
      <c r="D214" s="30">
        <f t="shared" si="21"/>
        <v>0.63146012337155155</v>
      </c>
      <c r="E214" s="30">
        <f t="shared" si="23"/>
        <v>31.567050000000162</v>
      </c>
      <c r="F214" s="30">
        <f t="shared" si="19"/>
        <v>47.572958298081815</v>
      </c>
    </row>
    <row r="215" spans="1:6">
      <c r="A215" s="30">
        <f t="shared" si="22"/>
        <v>0.63460171602514137</v>
      </c>
      <c r="B215">
        <f t="shared" si="18"/>
        <v>-3.5813733641232415</v>
      </c>
      <c r="C215" s="30">
        <f t="shared" si="20"/>
        <v>3.5813733641232415</v>
      </c>
      <c r="D215" s="30">
        <f t="shared" si="21"/>
        <v>0.63460171602514137</v>
      </c>
      <c r="E215" s="30">
        <f t="shared" si="23"/>
        <v>31.724100000000163</v>
      </c>
      <c r="F215" s="30">
        <f t="shared" si="19"/>
        <v>47.56989098925451</v>
      </c>
    </row>
    <row r="216" spans="1:6">
      <c r="A216" s="30">
        <f t="shared" si="22"/>
        <v>0.63774330867873119</v>
      </c>
      <c r="B216">
        <f t="shared" si="18"/>
        <v>-3.6430547621924725</v>
      </c>
      <c r="C216" s="30">
        <f t="shared" si="20"/>
        <v>3.6430547621924725</v>
      </c>
      <c r="D216" s="30">
        <f t="shared" si="21"/>
        <v>0.63774330867873119</v>
      </c>
      <c r="E216" s="30">
        <f t="shared" si="23"/>
        <v>31.881150000000165</v>
      </c>
      <c r="F216" s="30">
        <f t="shared" si="19"/>
        <v>47.566818207436661</v>
      </c>
    </row>
    <row r="217" spans="1:6">
      <c r="A217" s="30">
        <f t="shared" si="22"/>
        <v>0.64088490133232101</v>
      </c>
      <c r="B217">
        <f t="shared" si="18"/>
        <v>-3.7071858864813714</v>
      </c>
      <c r="C217" s="30">
        <f t="shared" si="20"/>
        <v>3.7071858864813714</v>
      </c>
      <c r="D217" s="30">
        <f t="shared" si="21"/>
        <v>0.64088490133232101</v>
      </c>
      <c r="E217" s="30">
        <f t="shared" si="23"/>
        <v>32.038200000000167</v>
      </c>
      <c r="F217" s="30">
        <f t="shared" si="19"/>
        <v>47.563740073936422</v>
      </c>
    </row>
    <row r="218" spans="1:6">
      <c r="A218" s="30">
        <f t="shared" si="22"/>
        <v>0.64402649398591083</v>
      </c>
      <c r="B218">
        <f t="shared" si="18"/>
        <v>-3.773916976918025</v>
      </c>
      <c r="C218" s="30">
        <f t="shared" si="20"/>
        <v>3.773916976918025</v>
      </c>
      <c r="D218" s="30">
        <f t="shared" si="21"/>
        <v>0.64402649398591083</v>
      </c>
      <c r="E218" s="30">
        <f t="shared" si="23"/>
        <v>32.195250000000165</v>
      </c>
      <c r="F218" s="30">
        <f t="shared" si="19"/>
        <v>47.560656710273243</v>
      </c>
    </row>
    <row r="219" spans="1:6">
      <c r="A219" s="30">
        <f t="shared" si="22"/>
        <v>0.64716808663950065</v>
      </c>
      <c r="B219">
        <f t="shared" si="18"/>
        <v>-3.8434108143711723</v>
      </c>
      <c r="C219" s="30">
        <f t="shared" si="20"/>
        <v>3.8434108143711723</v>
      </c>
      <c r="D219" s="30">
        <f t="shared" si="21"/>
        <v>0.64716808663950065</v>
      </c>
      <c r="E219" s="30">
        <f t="shared" si="23"/>
        <v>32.352300000000163</v>
      </c>
      <c r="F219" s="30">
        <f t="shared" si="19"/>
        <v>47.557568238173033</v>
      </c>
    </row>
    <row r="220" spans="1:6">
      <c r="A220" s="30">
        <f t="shared" si="22"/>
        <v>0.65030967929309047</v>
      </c>
      <c r="B220">
        <f t="shared" si="18"/>
        <v>-3.9158440570924773</v>
      </c>
      <c r="C220" s="30">
        <f t="shared" si="20"/>
        <v>3.9158440570924773</v>
      </c>
      <c r="D220" s="30">
        <f t="shared" si="21"/>
        <v>0.65030967929309047</v>
      </c>
      <c r="E220" s="30">
        <f t="shared" si="23"/>
        <v>32.509350000000161</v>
      </c>
      <c r="F220" s="30">
        <f t="shared" si="19"/>
        <v>47.554474779563392</v>
      </c>
    </row>
    <row r="221" spans="1:6">
      <c r="A221" s="30">
        <f t="shared" si="22"/>
        <v>0.65345127194668029</v>
      </c>
      <c r="B221">
        <f t="shared" si="18"/>
        <v>-3.9914087517844021</v>
      </c>
      <c r="C221" s="30">
        <f t="shared" si="20"/>
        <v>3.9914087517844021</v>
      </c>
      <c r="D221" s="30">
        <f t="shared" si="21"/>
        <v>0.65345127194668029</v>
      </c>
      <c r="E221" s="30">
        <f t="shared" si="23"/>
        <v>32.666400000000159</v>
      </c>
      <c r="F221" s="30">
        <f t="shared" si="19"/>
        <v>47.551376456568761</v>
      </c>
    </row>
    <row r="222" spans="1:6">
      <c r="A222" s="30">
        <f t="shared" si="22"/>
        <v>0.65659286460027011</v>
      </c>
      <c r="B222">
        <f t="shared" si="18"/>
        <v>-4.0703140465064234</v>
      </c>
      <c r="C222" s="30">
        <f t="shared" si="20"/>
        <v>4.0703140465064234</v>
      </c>
      <c r="D222" s="30">
        <f t="shared" si="21"/>
        <v>0.65659286460027011</v>
      </c>
      <c r="E222" s="30">
        <f t="shared" si="23"/>
        <v>32.823450000000157</v>
      </c>
      <c r="F222" s="30">
        <f t="shared" si="19"/>
        <v>47.548273391505631</v>
      </c>
    </row>
    <row r="223" spans="1:6">
      <c r="A223" s="30">
        <f t="shared" si="22"/>
        <v>0.65973445725385993</v>
      </c>
      <c r="B223">
        <f t="shared" si="18"/>
        <v>-4.1527881375894884</v>
      </c>
      <c r="C223" s="30">
        <f t="shared" si="20"/>
        <v>4.1527881375894884</v>
      </c>
      <c r="D223" s="30">
        <f t="shared" si="21"/>
        <v>0.65973445725385993</v>
      </c>
      <c r="E223" s="30">
        <f t="shared" si="23"/>
        <v>32.980500000000156</v>
      </c>
      <c r="F223" s="30">
        <f t="shared" si="19"/>
        <v>47.545165706877697</v>
      </c>
    </row>
    <row r="224" spans="1:6">
      <c r="A224" s="30">
        <f t="shared" si="22"/>
        <v>0.66287604990744975</v>
      </c>
      <c r="B224">
        <f t="shared" si="18"/>
        <v>-4.2390804887247686</v>
      </c>
      <c r="C224" s="30">
        <f t="shared" si="20"/>
        <v>4.2390804887247686</v>
      </c>
      <c r="D224" s="30">
        <f t="shared" si="21"/>
        <v>0.66287604990744975</v>
      </c>
      <c r="E224" s="30">
        <f t="shared" si="23"/>
        <v>33.137550000000154</v>
      </c>
      <c r="F224" s="30">
        <f t="shared" si="19"/>
        <v>47.542053525371031</v>
      </c>
    </row>
    <row r="225" spans="1:6">
      <c r="A225" s="30">
        <f t="shared" si="22"/>
        <v>0.66601764256103957</v>
      </c>
      <c r="B225">
        <f t="shared" si="18"/>
        <v>-4.3294643676766746</v>
      </c>
      <c r="C225" s="30">
        <f t="shared" si="20"/>
        <v>4.3294643676766746</v>
      </c>
      <c r="D225" s="30">
        <f t="shared" si="21"/>
        <v>0.66601764256103957</v>
      </c>
      <c r="E225" s="30">
        <f t="shared" si="23"/>
        <v>33.294600000000152</v>
      </c>
      <c r="F225" s="30">
        <f t="shared" si="19"/>
        <v>47.538936969849217</v>
      </c>
    </row>
    <row r="226" spans="1:6">
      <c r="A226" s="30">
        <f t="shared" si="22"/>
        <v>0.66915923521462939</v>
      </c>
      <c r="B226">
        <f t="shared" si="18"/>
        <v>-4.4242397549557557</v>
      </c>
      <c r="C226" s="30">
        <f t="shared" si="20"/>
        <v>4.4242397549557557</v>
      </c>
      <c r="D226" s="30">
        <f t="shared" si="21"/>
        <v>0.66915923521462939</v>
      </c>
      <c r="E226" s="30">
        <f t="shared" si="23"/>
        <v>33.45165000000015</v>
      </c>
      <c r="F226" s="30">
        <f t="shared" si="19"/>
        <v>47.535816163348542</v>
      </c>
    </row>
    <row r="227" spans="1:6">
      <c r="A227" s="30">
        <f t="shared" si="22"/>
        <v>0.67230082786821921</v>
      </c>
      <c r="B227">
        <f t="shared" si="18"/>
        <v>-4.52373668967636</v>
      </c>
      <c r="C227" s="30">
        <f t="shared" si="20"/>
        <v>4.52373668967636</v>
      </c>
      <c r="D227" s="30">
        <f t="shared" si="21"/>
        <v>0.67230082786821921</v>
      </c>
      <c r="E227" s="30">
        <f t="shared" si="23"/>
        <v>33.608700000000148</v>
      </c>
      <c r="F227" s="30">
        <f t="shared" si="19"/>
        <v>47.532691229073102</v>
      </c>
    </row>
    <row r="228" spans="1:6">
      <c r="A228" s="30">
        <f t="shared" si="22"/>
        <v>0.67544242052180903</v>
      </c>
      <c r="B228">
        <f t="shared" si="18"/>
        <v>-4.6283191312311773</v>
      </c>
      <c r="C228" s="30">
        <f t="shared" si="20"/>
        <v>4.6283191312311773</v>
      </c>
      <c r="D228" s="30">
        <f t="shared" si="21"/>
        <v>0.67544242052180903</v>
      </c>
      <c r="E228" s="30">
        <f t="shared" si="23"/>
        <v>33.765750000000146</v>
      </c>
      <c r="F228" s="30">
        <f t="shared" si="19"/>
        <v>47.529562290389947</v>
      </c>
    </row>
    <row r="229" spans="1:6">
      <c r="A229" s="30">
        <f t="shared" si="22"/>
        <v>0.67858401317539885</v>
      </c>
      <c r="B229">
        <f t="shared" si="18"/>
        <v>-4.7383894320041975</v>
      </c>
      <c r="C229" s="30">
        <f t="shared" si="20"/>
        <v>4.7383894320041975</v>
      </c>
      <c r="D229" s="30">
        <f t="shared" si="21"/>
        <v>0.67858401317539885</v>
      </c>
      <c r="E229" s="30">
        <f t="shared" si="23"/>
        <v>33.922800000000144</v>
      </c>
      <c r="F229" s="30">
        <f t="shared" si="19"/>
        <v>47.526429470824219</v>
      </c>
    </row>
    <row r="230" spans="1:6">
      <c r="A230" s="30">
        <f t="shared" si="22"/>
        <v>0.68172560582898867</v>
      </c>
      <c r="B230">
        <f t="shared" si="18"/>
        <v>-4.8543935369771143</v>
      </c>
      <c r="C230" s="30">
        <f t="shared" si="20"/>
        <v>4.8543935369771143</v>
      </c>
      <c r="D230" s="30">
        <f t="shared" si="21"/>
        <v>0.68172560582898867</v>
      </c>
      <c r="E230" s="30">
        <f t="shared" si="23"/>
        <v>34.079850000000143</v>
      </c>
      <c r="F230" s="30">
        <f t="shared" si="19"/>
        <v>47.523292894054272</v>
      </c>
    </row>
    <row r="231" spans="1:6">
      <c r="A231" s="30">
        <f t="shared" si="22"/>
        <v>0.68486719848257849</v>
      </c>
      <c r="B231">
        <f t="shared" si="18"/>
        <v>-4.9768270518877706</v>
      </c>
      <c r="C231" s="30">
        <f t="shared" si="20"/>
        <v>4.9768270518877706</v>
      </c>
      <c r="D231" s="30">
        <f t="shared" si="21"/>
        <v>0.68486719848257849</v>
      </c>
      <c r="E231" s="30">
        <f t="shared" si="23"/>
        <v>34.236900000000141</v>
      </c>
      <c r="F231" s="30">
        <f t="shared" si="19"/>
        <v>47.520152683906787</v>
      </c>
    </row>
    <row r="232" spans="1:6">
      <c r="A232" s="30">
        <f t="shared" si="22"/>
        <v>0.68800879113616831</v>
      </c>
      <c r="B232">
        <f t="shared" si="18"/>
        <v>-5.106242354053439</v>
      </c>
      <c r="C232" s="30">
        <f t="shared" si="20"/>
        <v>5.106242354053439</v>
      </c>
      <c r="D232" s="30">
        <f t="shared" si="21"/>
        <v>0.68800879113616831</v>
      </c>
      <c r="E232" s="30">
        <f t="shared" si="23"/>
        <v>34.393950000000139</v>
      </c>
      <c r="F232" s="30">
        <f t="shared" si="19"/>
        <v>47.517008964351888</v>
      </c>
    </row>
    <row r="233" spans="1:6">
      <c r="A233" s="30">
        <f t="shared" si="22"/>
        <v>0.69115038378975813</v>
      </c>
      <c r="B233">
        <f t="shared" si="18"/>
        <v>-5.2432569610368596</v>
      </c>
      <c r="C233" s="30">
        <f t="shared" si="20"/>
        <v>5.2432569610368596</v>
      </c>
      <c r="D233" s="30">
        <f t="shared" si="21"/>
        <v>0.69115038378975813</v>
      </c>
      <c r="E233" s="30">
        <f t="shared" si="23"/>
        <v>34.551000000000137</v>
      </c>
      <c r="F233" s="30">
        <f t="shared" si="19"/>
        <v>47.513861859498228</v>
      </c>
    </row>
    <row r="234" spans="1:6">
      <c r="A234" s="30">
        <f t="shared" si="22"/>
        <v>0.69429197644334795</v>
      </c>
      <c r="B234">
        <f t="shared" si="18"/>
        <v>-5.3885634246257217</v>
      </c>
      <c r="C234" s="30">
        <f t="shared" si="20"/>
        <v>5.3885634246257217</v>
      </c>
      <c r="D234" s="30">
        <f t="shared" si="21"/>
        <v>0.69429197644334795</v>
      </c>
      <c r="E234" s="30">
        <f t="shared" si="23"/>
        <v>34.708050000000135</v>
      </c>
      <c r="F234" s="30">
        <f t="shared" si="19"/>
        <v>47.510711493588126</v>
      </c>
    </row>
    <row r="235" spans="1:6">
      <c r="A235" s="30">
        <f t="shared" si="22"/>
        <v>0.69743356909693777</v>
      </c>
      <c r="B235">
        <f t="shared" si="18"/>
        <v>-5.5429410846331093</v>
      </c>
      <c r="C235" s="30">
        <f t="shared" si="20"/>
        <v>5.5429410846331093</v>
      </c>
      <c r="D235" s="30">
        <f t="shared" si="21"/>
        <v>0.69743356909693777</v>
      </c>
      <c r="E235" s="30">
        <f t="shared" si="23"/>
        <v>34.865100000000133</v>
      </c>
      <c r="F235" s="30">
        <f t="shared" si="19"/>
        <v>47.507557990992638</v>
      </c>
    </row>
    <row r="236" spans="1:6">
      <c r="A236" s="30">
        <f t="shared" si="22"/>
        <v>0.70057516175052759</v>
      </c>
      <c r="B236">
        <f t="shared" si="18"/>
        <v>-5.7072701035769615</v>
      </c>
      <c r="C236" s="30">
        <f t="shared" si="20"/>
        <v>5.7072701035769615</v>
      </c>
      <c r="D236" s="30">
        <f t="shared" si="21"/>
        <v>0.70057516175052759</v>
      </c>
      <c r="E236" s="30">
        <f t="shared" si="23"/>
        <v>35.022150000000131</v>
      </c>
      <c r="F236" s="30">
        <f t="shared" si="19"/>
        <v>47.504401476206638</v>
      </c>
    </row>
    <row r="237" spans="1:6">
      <c r="A237" s="30">
        <f t="shared" si="22"/>
        <v>0.70371675440411741</v>
      </c>
      <c r="B237">
        <f t="shared" si="18"/>
        <v>-5.8825483158820626</v>
      </c>
      <c r="C237" s="30">
        <f t="shared" si="20"/>
        <v>5.8825483158820626</v>
      </c>
      <c r="D237" s="30">
        <f t="shared" si="21"/>
        <v>0.70371675440411741</v>
      </c>
      <c r="E237" s="30">
        <f t="shared" si="23"/>
        <v>35.179200000000129</v>
      </c>
      <c r="F237" s="30">
        <f t="shared" si="19"/>
        <v>47.501242073843926</v>
      </c>
    </row>
    <row r="238" spans="1:6">
      <c r="A238" s="30">
        <f t="shared" si="22"/>
        <v>0.70685834705770723</v>
      </c>
      <c r="B238">
        <f t="shared" si="18"/>
        <v>-6.0699115728717388</v>
      </c>
      <c r="C238" s="30">
        <f t="shared" si="20"/>
        <v>6.0699115728717388</v>
      </c>
      <c r="D238" s="30">
        <f t="shared" si="21"/>
        <v>0.70685834705770723</v>
      </c>
      <c r="E238" s="30">
        <f t="shared" si="23"/>
        <v>35.336250000000128</v>
      </c>
      <c r="F238" s="30">
        <f t="shared" si="19"/>
        <v>47.498079908632306</v>
      </c>
    </row>
    <row r="239" spans="1:6">
      <c r="A239" s="30">
        <f t="shared" si="22"/>
        <v>0.70999993971129705</v>
      </c>
      <c r="B239">
        <f t="shared" si="18"/>
        <v>-6.2706584600279767</v>
      </c>
      <c r="C239" s="30">
        <f t="shared" si="20"/>
        <v>6.2706584600279767</v>
      </c>
      <c r="D239" s="30">
        <f t="shared" si="21"/>
        <v>0.70999993971129705</v>
      </c>
      <c r="E239" s="30">
        <f t="shared" si="23"/>
        <v>35.493300000000126</v>
      </c>
      <c r="F239" s="30">
        <f t="shared" si="19"/>
        <v>47.494915105408637</v>
      </c>
    </row>
    <row r="240" spans="1:6">
      <c r="A240" s="30">
        <f t="shared" si="22"/>
        <v>0.71314153236488687</v>
      </c>
      <c r="B240">
        <f t="shared" si="18"/>
        <v>-6.4862805234764513</v>
      </c>
      <c r="C240" s="30">
        <f t="shared" si="20"/>
        <v>6.4862805234764513</v>
      </c>
      <c r="D240" s="30">
        <f t="shared" si="21"/>
        <v>0.71314153236488687</v>
      </c>
      <c r="E240" s="30">
        <f t="shared" si="23"/>
        <v>35.650350000000124</v>
      </c>
      <c r="F240" s="30">
        <f t="shared" si="19"/>
        <v>47.49174778911393</v>
      </c>
    </row>
    <row r="241" spans="1:6">
      <c r="A241" s="30">
        <f t="shared" si="22"/>
        <v>0.71628312501847669</v>
      </c>
      <c r="B241">
        <f t="shared" si="18"/>
        <v>-6.7184994935767985</v>
      </c>
      <c r="C241" s="30">
        <f t="shared" si="20"/>
        <v>6.7184994935767985</v>
      </c>
      <c r="D241" s="30">
        <f t="shared" si="21"/>
        <v>0.71628312501847669</v>
      </c>
      <c r="E241" s="30">
        <f t="shared" si="23"/>
        <v>35.807400000000122</v>
      </c>
      <c r="F241" s="30">
        <f t="shared" si="19"/>
        <v>47.488578084788422</v>
      </c>
    </row>
    <row r="242" spans="1:6">
      <c r="A242" s="30">
        <f t="shared" si="22"/>
        <v>0.7194247176720665</v>
      </c>
      <c r="B242">
        <f t="shared" si="18"/>
        <v>-6.9693134711654645</v>
      </c>
      <c r="C242" s="30">
        <f t="shared" si="20"/>
        <v>6.9693134711654645</v>
      </c>
      <c r="D242" s="30">
        <f t="shared" si="21"/>
        <v>0.7194247176720665</v>
      </c>
      <c r="E242" s="30">
        <f t="shared" si="23"/>
        <v>35.96445000000012</v>
      </c>
      <c r="F242" s="30">
        <f t="shared" si="19"/>
        <v>47.485406117566598</v>
      </c>
    </row>
    <row r="243" spans="1:6">
      <c r="A243" s="30">
        <f t="shared" si="22"/>
        <v>0.72256631032565632</v>
      </c>
      <c r="B243">
        <f t="shared" si="18"/>
        <v>-7.2410546993959075</v>
      </c>
      <c r="C243" s="30">
        <f t="shared" si="20"/>
        <v>7.2410546993959075</v>
      </c>
      <c r="D243" s="30">
        <f t="shared" si="21"/>
        <v>0.72256631032565632</v>
      </c>
      <c r="E243" s="30">
        <f t="shared" si="23"/>
        <v>36.121500000000118</v>
      </c>
      <c r="F243" s="30">
        <f t="shared" si="19"/>
        <v>47.482232012672299</v>
      </c>
    </row>
    <row r="244" spans="1:6">
      <c r="A244" s="30">
        <f t="shared" si="22"/>
        <v>0.72570790297924614</v>
      </c>
      <c r="B244">
        <f t="shared" si="18"/>
        <v>-7.5364624596686589</v>
      </c>
      <c r="C244" s="30">
        <f t="shared" si="20"/>
        <v>7.5364624596686589</v>
      </c>
      <c r="D244" s="30">
        <f t="shared" si="21"/>
        <v>0.72570790297924614</v>
      </c>
      <c r="E244" s="30">
        <f t="shared" si="23"/>
        <v>36.278550000000116</v>
      </c>
      <c r="F244" s="30">
        <f t="shared" si="19"/>
        <v>47.479055895413751</v>
      </c>
    </row>
    <row r="245" spans="1:6">
      <c r="A245" s="30">
        <f t="shared" si="22"/>
        <v>0.72884949563283596</v>
      </c>
      <c r="B245">
        <f t="shared" si="18"/>
        <v>-7.8587759216152806</v>
      </c>
      <c r="C245" s="30">
        <f t="shared" si="20"/>
        <v>7.8587759216152806</v>
      </c>
      <c r="D245" s="30">
        <f t="shared" si="21"/>
        <v>0.72884949563283596</v>
      </c>
      <c r="E245" s="30">
        <f t="shared" si="23"/>
        <v>36.435600000000115</v>
      </c>
      <c r="F245" s="30">
        <f t="shared" si="19"/>
        <v>47.475877891178627</v>
      </c>
    </row>
    <row r="246" spans="1:6">
      <c r="A246" s="30">
        <f t="shared" si="22"/>
        <v>0.73199108828642578</v>
      </c>
      <c r="B246">
        <f t="shared" si="18"/>
        <v>-8.2118536241989801</v>
      </c>
      <c r="C246" s="30">
        <f t="shared" si="20"/>
        <v>8.2118536241989801</v>
      </c>
      <c r="D246" s="30">
        <f t="shared" si="21"/>
        <v>0.73199108828642578</v>
      </c>
      <c r="E246" s="30">
        <f t="shared" si="23"/>
        <v>36.592650000000113</v>
      </c>
      <c r="F246" s="30">
        <f t="shared" si="19"/>
        <v>47.472698125429083</v>
      </c>
    </row>
    <row r="247" spans="1:6">
      <c r="A247" s="30">
        <f t="shared" si="22"/>
        <v>0.7351326809400156</v>
      </c>
      <c r="B247">
        <f t="shared" si="18"/>
        <v>-8.6003289466632005</v>
      </c>
      <c r="C247" s="30">
        <f t="shared" si="20"/>
        <v>8.6003289466632005</v>
      </c>
      <c r="D247" s="30">
        <f t="shared" si="21"/>
        <v>0.7351326809400156</v>
      </c>
      <c r="E247" s="30">
        <f t="shared" si="23"/>
        <v>36.749700000000111</v>
      </c>
      <c r="F247" s="30">
        <f t="shared" si="19"/>
        <v>47.469516723696842</v>
      </c>
    </row>
    <row r="248" spans="1:6">
      <c r="A248" s="30">
        <f t="shared" si="22"/>
        <v>0.73827427359360542</v>
      </c>
      <c r="B248">
        <f t="shared" si="18"/>
        <v>-9.0298148854204854</v>
      </c>
      <c r="C248" s="30">
        <f t="shared" si="20"/>
        <v>9.0298148854204854</v>
      </c>
      <c r="D248" s="30">
        <f t="shared" si="21"/>
        <v>0.73827427359360542</v>
      </c>
      <c r="E248" s="30">
        <f t="shared" si="23"/>
        <v>36.906750000000109</v>
      </c>
      <c r="F248" s="30">
        <f t="shared" si="19"/>
        <v>47.466333811578188</v>
      </c>
    </row>
    <row r="249" spans="1:6">
      <c r="A249" s="30">
        <f t="shared" si="22"/>
        <v>0.74141586624719524</v>
      </c>
      <c r="B249">
        <f t="shared" si="18"/>
        <v>-9.5071773979452043</v>
      </c>
      <c r="C249" s="30">
        <f t="shared" si="20"/>
        <v>9.5071773979452043</v>
      </c>
      <c r="D249" s="30">
        <f t="shared" si="21"/>
        <v>0.74141586624719524</v>
      </c>
      <c r="E249" s="30">
        <f t="shared" si="23"/>
        <v>37.063800000000107</v>
      </c>
      <c r="F249" s="30">
        <f t="shared" si="19"/>
        <v>47.463149514729039</v>
      </c>
    </row>
    <row r="250" spans="1:6">
      <c r="A250" s="30">
        <f t="shared" si="22"/>
        <v>0.74455745890078506</v>
      </c>
      <c r="B250">
        <f t="shared" si="18"/>
        <v>-10.040905682085727</v>
      </c>
      <c r="C250" s="30">
        <f t="shared" si="20"/>
        <v>10.040905682085727</v>
      </c>
      <c r="D250" s="30">
        <f t="shared" si="21"/>
        <v>0.74455745890078506</v>
      </c>
      <c r="E250" s="30">
        <f t="shared" si="23"/>
        <v>37.220850000000105</v>
      </c>
      <c r="F250" s="30">
        <f t="shared" si="19"/>
        <v>47.45996395885998</v>
      </c>
    </row>
    <row r="251" spans="1:6">
      <c r="A251" s="30">
        <f t="shared" si="22"/>
        <v>0.74769905155437488</v>
      </c>
      <c r="B251">
        <f t="shared" si="18"/>
        <v>-10.641622015472588</v>
      </c>
      <c r="C251" s="30">
        <f t="shared" si="20"/>
        <v>10.641622015472588</v>
      </c>
      <c r="D251" s="30">
        <f t="shared" si="21"/>
        <v>0.74769905155437488</v>
      </c>
      <c r="E251" s="30">
        <f t="shared" si="23"/>
        <v>37.377900000000103</v>
      </c>
      <c r="F251" s="30">
        <f t="shared" si="19"/>
        <v>47.456777269731312</v>
      </c>
    </row>
    <row r="252" spans="1:6">
      <c r="A252" s="30">
        <f t="shared" si="22"/>
        <v>0.7508406442079647</v>
      </c>
      <c r="B252">
        <f t="shared" si="18"/>
        <v>-11.322796636079913</v>
      </c>
      <c r="C252" s="30">
        <f t="shared" si="20"/>
        <v>11.322796636079913</v>
      </c>
      <c r="D252" s="30">
        <f t="shared" si="21"/>
        <v>0.7508406442079647</v>
      </c>
      <c r="E252" s="30">
        <f t="shared" si="23"/>
        <v>37.534950000000102</v>
      </c>
      <c r="F252" s="30">
        <f t="shared" si="19"/>
        <v>47.453589573148065</v>
      </c>
    </row>
    <row r="253" spans="1:6">
      <c r="A253" s="30">
        <f t="shared" si="22"/>
        <v>0.75398223686155452</v>
      </c>
      <c r="B253">
        <f t="shared" si="18"/>
        <v>-12.1017707801307</v>
      </c>
      <c r="C253" s="30">
        <f t="shared" si="20"/>
        <v>12.1017707801307</v>
      </c>
      <c r="D253" s="30">
        <f t="shared" si="21"/>
        <v>0.75398223686155452</v>
      </c>
      <c r="E253" s="30">
        <f t="shared" si="23"/>
        <v>37.6920000000001</v>
      </c>
      <c r="F253" s="30">
        <f t="shared" si="19"/>
        <v>47.450400994955032</v>
      </c>
    </row>
    <row r="254" spans="1:6">
      <c r="A254" s="30">
        <f t="shared" si="22"/>
        <v>0.75712382951514434</v>
      </c>
      <c r="B254">
        <f t="shared" si="18"/>
        <v>-13.001254846849562</v>
      </c>
      <c r="C254" s="30">
        <f t="shared" si="20"/>
        <v>13.001254846849562</v>
      </c>
      <c r="D254" s="30">
        <f t="shared" si="21"/>
        <v>0.75712382951514434</v>
      </c>
      <c r="E254" s="30">
        <f t="shared" si="23"/>
        <v>37.849050000000098</v>
      </c>
      <c r="F254" s="30">
        <f t="shared" si="19"/>
        <v>47.447211661031822</v>
      </c>
    </row>
    <row r="255" spans="1:6">
      <c r="A255" s="30">
        <f t="shared" si="22"/>
        <v>0.76026542216873416</v>
      </c>
      <c r="B255">
        <f t="shared" si="18"/>
        <v>-14.051580727779253</v>
      </c>
      <c r="C255" s="30">
        <f t="shared" si="20"/>
        <v>14.051580727779253</v>
      </c>
      <c r="D255" s="30">
        <f t="shared" si="21"/>
        <v>0.76026542216873416</v>
      </c>
      <c r="E255" s="30">
        <f t="shared" si="23"/>
        <v>38.006100000000096</v>
      </c>
      <c r="F255" s="30">
        <f t="shared" si="19"/>
        <v>47.444021697287887</v>
      </c>
    </row>
    <row r="256" spans="1:6">
      <c r="A256" s="30">
        <f t="shared" si="22"/>
        <v>0.76340701482232398</v>
      </c>
      <c r="B256">
        <f t="shared" si="18"/>
        <v>-15.294191777823725</v>
      </c>
      <c r="C256" s="30">
        <f t="shared" si="20"/>
        <v>15.294191777823725</v>
      </c>
      <c r="D256" s="30">
        <f t="shared" si="21"/>
        <v>0.76340701482232398</v>
      </c>
      <c r="E256" s="30">
        <f t="shared" si="23"/>
        <v>38.163150000000094</v>
      </c>
      <c r="F256" s="30">
        <f t="shared" si="19"/>
        <v>47.440831229657526</v>
      </c>
    </row>
    <row r="257" spans="1:6">
      <c r="A257" s="30">
        <f t="shared" si="22"/>
        <v>0.7665486074759138</v>
      </c>
      <c r="B257">
        <f t="shared" si="18"/>
        <v>-16.787243840158432</v>
      </c>
      <c r="C257" s="30">
        <f t="shared" si="20"/>
        <v>16.787243840158432</v>
      </c>
      <c r="D257" s="30">
        <f t="shared" si="21"/>
        <v>0.7665486074759138</v>
      </c>
      <c r="E257" s="30">
        <f t="shared" si="23"/>
        <v>38.320200000000092</v>
      </c>
      <c r="F257" s="30">
        <f t="shared" si="19"/>
        <v>47.437640384094941</v>
      </c>
    </row>
    <row r="258" spans="1:6">
      <c r="A258" s="30">
        <f t="shared" si="22"/>
        <v>0.76969020012950362</v>
      </c>
      <c r="B258">
        <f t="shared" si="18"/>
        <v>-18.614974142475589</v>
      </c>
      <c r="C258" s="30">
        <f t="shared" si="20"/>
        <v>18.614974142475589</v>
      </c>
      <c r="D258" s="30">
        <f t="shared" si="21"/>
        <v>0.76969020012950362</v>
      </c>
      <c r="E258" s="30">
        <f t="shared" si="23"/>
        <v>38.47725000000009</v>
      </c>
      <c r="F258" s="30">
        <f t="shared" si="19"/>
        <v>47.434449286569247</v>
      </c>
    </row>
    <row r="259" spans="1:6">
      <c r="A259" s="30">
        <f t="shared" si="22"/>
        <v>0.77283179278309344</v>
      </c>
      <c r="B259">
        <f t="shared" si="18"/>
        <v>-20.904168618035506</v>
      </c>
      <c r="C259" s="30">
        <f t="shared" si="20"/>
        <v>20.904168618035506</v>
      </c>
      <c r="D259" s="30">
        <f t="shared" si="21"/>
        <v>0.77283179278309344</v>
      </c>
      <c r="E259" s="30">
        <f t="shared" si="23"/>
        <v>38.634300000000088</v>
      </c>
      <c r="F259" s="30">
        <f t="shared" si="19"/>
        <v>47.431258063059516</v>
      </c>
    </row>
    <row r="260" spans="1:6">
      <c r="A260" s="30">
        <f t="shared" si="22"/>
        <v>0.77597338543668326</v>
      </c>
      <c r="B260">
        <f t="shared" si="18"/>
        <v>-23.854909037722148</v>
      </c>
      <c r="C260" s="30">
        <f t="shared" si="20"/>
        <v>23.854909037722148</v>
      </c>
      <c r="D260" s="30">
        <f t="shared" si="21"/>
        <v>0.77597338543668326</v>
      </c>
      <c r="E260" s="30">
        <f t="shared" si="23"/>
        <v>38.791350000000087</v>
      </c>
      <c r="F260" s="30">
        <f t="shared" si="19"/>
        <v>47.428066839549786</v>
      </c>
    </row>
    <row r="261" spans="1:6">
      <c r="A261" s="30">
        <f t="shared" si="22"/>
        <v>0.77911497809027308</v>
      </c>
      <c r="B261">
        <f t="shared" si="18"/>
        <v>-27.802487335015876</v>
      </c>
      <c r="C261" s="30">
        <f t="shared" si="20"/>
        <v>27.802487335015876</v>
      </c>
      <c r="D261" s="30">
        <f t="shared" si="21"/>
        <v>0.77911497809027308</v>
      </c>
      <c r="E261" s="30">
        <f t="shared" si="23"/>
        <v>38.948400000000085</v>
      </c>
      <c r="F261" s="30">
        <f t="shared" si="19"/>
        <v>47.424875742024092</v>
      </c>
    </row>
    <row r="262" spans="1:6">
      <c r="A262" s="30">
        <f t="shared" si="22"/>
        <v>0.7822565707438629</v>
      </c>
      <c r="B262">
        <f t="shared" si="18"/>
        <v>-33.354838497300136</v>
      </c>
      <c r="C262" s="30">
        <f t="shared" si="20"/>
        <v>33.354838497300136</v>
      </c>
      <c r="D262" s="30">
        <f t="shared" si="21"/>
        <v>0.7822565707438629</v>
      </c>
      <c r="E262" s="30">
        <f t="shared" si="23"/>
        <v>39.105450000000083</v>
      </c>
      <c r="F262" s="30">
        <f t="shared" si="19"/>
        <v>47.421684896461507</v>
      </c>
    </row>
    <row r="263" spans="1:6">
      <c r="A263" s="30">
        <f t="shared" si="22"/>
        <v>0.78539816339745272</v>
      </c>
      <c r="B263">
        <f t="shared" si="18"/>
        <v>-41.740376403516926</v>
      </c>
      <c r="C263" s="30">
        <f t="shared" si="20"/>
        <v>41.740376403516926</v>
      </c>
      <c r="D263" s="30">
        <f t="shared" si="21"/>
        <v>0.78539816339745272</v>
      </c>
      <c r="E263" s="30">
        <f t="shared" si="23"/>
        <v>39.262500000000081</v>
      </c>
      <c r="F263" s="30">
        <f t="shared" si="19"/>
        <v>47.418494428831146</v>
      </c>
    </row>
    <row r="264" spans="1:6">
      <c r="A264" s="30">
        <f t="shared" si="22"/>
        <v>0.78853975605104254</v>
      </c>
      <c r="B264">
        <f t="shared" si="18"/>
        <v>-55.870772861350382</v>
      </c>
      <c r="C264" s="30">
        <f t="shared" si="20"/>
        <v>55.870772861350382</v>
      </c>
      <c r="D264" s="30">
        <f t="shared" si="21"/>
        <v>0.78853975605104254</v>
      </c>
      <c r="E264" s="30">
        <f t="shared" si="23"/>
        <v>39.419550000000079</v>
      </c>
      <c r="F264" s="30">
        <f t="shared" si="19"/>
        <v>47.41530446508721</v>
      </c>
    </row>
    <row r="265" spans="1:6">
      <c r="A265" s="30">
        <f t="shared" si="22"/>
        <v>0.79168134870463236</v>
      </c>
      <c r="B265">
        <f t="shared" si="18"/>
        <v>-84.726419745738866</v>
      </c>
      <c r="C265" s="30">
        <f t="shared" si="20"/>
        <v>84.726419745738866</v>
      </c>
      <c r="D265" s="30">
        <f t="shared" si="21"/>
        <v>0.79168134870463236</v>
      </c>
      <c r="E265" s="30">
        <f t="shared" si="23"/>
        <v>39.576600000000077</v>
      </c>
      <c r="F265" s="30">
        <f t="shared" si="19"/>
        <v>47.412115131164001</v>
      </c>
    </row>
    <row r="266" spans="1:6">
      <c r="A266" s="30">
        <f t="shared" si="22"/>
        <v>0.79482294135822218</v>
      </c>
      <c r="B266">
        <f t="shared" si="18"/>
        <v>-176.36967758091942</v>
      </c>
      <c r="C266" s="30">
        <f t="shared" si="20"/>
        <v>176.36967758091942</v>
      </c>
      <c r="D266" s="30">
        <f t="shared" si="21"/>
        <v>0.79482294135822218</v>
      </c>
      <c r="E266" s="30">
        <f t="shared" si="23"/>
        <v>39.733650000000075</v>
      </c>
      <c r="F266" s="30">
        <f t="shared" si="19"/>
        <v>47.408926552970968</v>
      </c>
    </row>
    <row r="267" spans="1:6">
      <c r="A267" s="30">
        <f t="shared" si="22"/>
        <v>0.797964534011812</v>
      </c>
      <c r="B267">
        <f t="shared" si="18"/>
        <v>1998.520941885972</v>
      </c>
      <c r="C267" s="30">
        <f t="shared" si="20"/>
        <v>1998.520941885972</v>
      </c>
      <c r="D267" s="30">
        <f t="shared" si="21"/>
        <v>0.797964534011812</v>
      </c>
      <c r="E267" s="30">
        <f t="shared" si="23"/>
        <v>39.890700000000074</v>
      </c>
      <c r="F267" s="30">
        <f t="shared" si="19"/>
        <v>47.405738856387721</v>
      </c>
    </row>
    <row r="268" spans="1:6">
      <c r="A268" s="30">
        <f t="shared" si="22"/>
        <v>0.80110612666540182</v>
      </c>
      <c r="B268">
        <f t="shared" si="18"/>
        <v>149.06216154803263</v>
      </c>
      <c r="C268" s="30">
        <f t="shared" si="20"/>
        <v>149.06216154803263</v>
      </c>
      <c r="D268" s="30">
        <f t="shared" si="21"/>
        <v>0.80110612666540182</v>
      </c>
      <c r="E268" s="30">
        <f t="shared" si="23"/>
        <v>40.047750000000072</v>
      </c>
      <c r="F268" s="30">
        <f t="shared" si="19"/>
        <v>47.402552167259053</v>
      </c>
    </row>
    <row r="269" spans="1:6">
      <c r="A269" s="30">
        <f t="shared" si="22"/>
        <v>0.80424771931899164</v>
      </c>
      <c r="B269">
        <f t="shared" ref="B269:B332" si="24">$H$3*(SIN($H$4+A269)-SIN($H$5+A269))/(SIN($H$4+A269)-SIN(A269))-$H$6</f>
        <v>77.188558259507502</v>
      </c>
      <c r="C269" s="30">
        <f t="shared" si="20"/>
        <v>77.188558259507502</v>
      </c>
      <c r="D269" s="30">
        <f t="shared" si="21"/>
        <v>0.80424771931899164</v>
      </c>
      <c r="E269" s="30">
        <f t="shared" si="23"/>
        <v>40.20480000000007</v>
      </c>
      <c r="F269" s="30">
        <f t="shared" ref="F269:F332" si="25">$M$5*SIN(2*PI()/$B$7*E269+$M$4)+$M$6</f>
        <v>47.399366611389993</v>
      </c>
    </row>
    <row r="270" spans="1:6">
      <c r="A270" s="30">
        <f t="shared" si="22"/>
        <v>0.80738931197258146</v>
      </c>
      <c r="B270">
        <f t="shared" si="24"/>
        <v>51.972662415093339</v>
      </c>
      <c r="C270" s="30">
        <f t="shared" ref="C270:C333" si="26">ABS(B270)</f>
        <v>51.972662415093339</v>
      </c>
      <c r="D270" s="30">
        <f t="shared" ref="D270:D333" si="27">A270</f>
        <v>0.80738931197258146</v>
      </c>
      <c r="E270" s="30">
        <f t="shared" si="23"/>
        <v>40.361850000000068</v>
      </c>
      <c r="F270" s="30">
        <f t="shared" si="25"/>
        <v>47.396182314540845</v>
      </c>
    </row>
    <row r="271" spans="1:6">
      <c r="A271" s="30">
        <f t="shared" ref="A271:A334" si="28">A270+PI()/1000</f>
        <v>0.81053090462617128</v>
      </c>
      <c r="B271">
        <f t="shared" si="24"/>
        <v>39.114616212188594</v>
      </c>
      <c r="C271" s="30">
        <f t="shared" si="26"/>
        <v>39.114616212188594</v>
      </c>
      <c r="D271" s="30">
        <f t="shared" si="27"/>
        <v>0.81053090462617128</v>
      </c>
      <c r="E271" s="30">
        <f t="shared" ref="E271:E334" si="29">E270+$B$7/1000</f>
        <v>40.518900000000066</v>
      </c>
      <c r="F271" s="30">
        <f t="shared" si="25"/>
        <v>47.392999402422191</v>
      </c>
    </row>
    <row r="272" spans="1:6">
      <c r="A272" s="30">
        <f t="shared" si="28"/>
        <v>0.8136724972797611</v>
      </c>
      <c r="B272">
        <f t="shared" si="24"/>
        <v>31.317720780790317</v>
      </c>
      <c r="C272" s="30">
        <f t="shared" si="26"/>
        <v>31.317720780790317</v>
      </c>
      <c r="D272" s="30">
        <f t="shared" si="27"/>
        <v>0.8136724972797611</v>
      </c>
      <c r="E272" s="30">
        <f t="shared" si="29"/>
        <v>40.675950000000064</v>
      </c>
      <c r="F272" s="30">
        <f t="shared" si="25"/>
        <v>47.389818000689942</v>
      </c>
    </row>
    <row r="273" spans="1:6">
      <c r="A273" s="30">
        <f t="shared" si="28"/>
        <v>0.81681408993335092</v>
      </c>
      <c r="B273">
        <f t="shared" si="24"/>
        <v>26.085053406723009</v>
      </c>
      <c r="C273" s="30">
        <f t="shared" si="26"/>
        <v>26.085053406723009</v>
      </c>
      <c r="D273" s="30">
        <f t="shared" si="27"/>
        <v>0.81681408993335092</v>
      </c>
      <c r="E273" s="30">
        <f t="shared" si="29"/>
        <v>40.833000000000062</v>
      </c>
      <c r="F273" s="30">
        <f t="shared" si="25"/>
        <v>47.386638234940406</v>
      </c>
    </row>
    <row r="274" spans="1:6">
      <c r="A274" s="30">
        <f t="shared" si="28"/>
        <v>0.81995568258694074</v>
      </c>
      <c r="B274">
        <f t="shared" si="24"/>
        <v>22.330209650821882</v>
      </c>
      <c r="C274" s="30">
        <f t="shared" si="26"/>
        <v>22.330209650821882</v>
      </c>
      <c r="D274" s="30">
        <f t="shared" si="27"/>
        <v>0.81995568258694074</v>
      </c>
      <c r="E274" s="30">
        <f t="shared" si="29"/>
        <v>40.99005000000006</v>
      </c>
      <c r="F274" s="30">
        <f t="shared" si="25"/>
        <v>47.383460230705282</v>
      </c>
    </row>
    <row r="275" spans="1:6">
      <c r="A275" s="30">
        <f t="shared" si="28"/>
        <v>0.82309727524053056</v>
      </c>
      <c r="B275">
        <f t="shared" si="24"/>
        <v>19.504551418074612</v>
      </c>
      <c r="C275" s="30">
        <f t="shared" si="26"/>
        <v>19.504551418074612</v>
      </c>
      <c r="D275" s="30">
        <f t="shared" si="27"/>
        <v>0.82309727524053056</v>
      </c>
      <c r="E275" s="30">
        <f t="shared" si="29"/>
        <v>41.147100000000059</v>
      </c>
      <c r="F275" s="30">
        <f t="shared" si="25"/>
        <v>47.380284113446734</v>
      </c>
    </row>
    <row r="276" spans="1:6">
      <c r="A276" s="30">
        <f t="shared" si="28"/>
        <v>0.82623886789412038</v>
      </c>
      <c r="B276">
        <f t="shared" si="24"/>
        <v>17.301108355268134</v>
      </c>
      <c r="C276" s="30">
        <f t="shared" si="26"/>
        <v>17.301108355268134</v>
      </c>
      <c r="D276" s="30">
        <f t="shared" si="27"/>
        <v>0.82623886789412038</v>
      </c>
      <c r="E276" s="30">
        <f t="shared" si="29"/>
        <v>41.304150000000057</v>
      </c>
      <c r="F276" s="30">
        <f t="shared" si="25"/>
        <v>47.377110008552435</v>
      </c>
    </row>
    <row r="277" spans="1:6">
      <c r="A277" s="30">
        <f t="shared" si="28"/>
        <v>0.8293804605477102</v>
      </c>
      <c r="B277">
        <f t="shared" si="24"/>
        <v>15.534713276551507</v>
      </c>
      <c r="C277" s="30">
        <f t="shared" si="26"/>
        <v>15.534713276551507</v>
      </c>
      <c r="D277" s="30">
        <f t="shared" si="27"/>
        <v>0.8293804605477102</v>
      </c>
      <c r="E277" s="30">
        <f t="shared" si="29"/>
        <v>41.461200000000055</v>
      </c>
      <c r="F277" s="30">
        <f t="shared" si="25"/>
        <v>47.373938041330611</v>
      </c>
    </row>
    <row r="278" spans="1:6">
      <c r="A278" s="30">
        <f t="shared" si="28"/>
        <v>0.83252205320130002</v>
      </c>
      <c r="B278">
        <f t="shared" si="24"/>
        <v>14.087041130727425</v>
      </c>
      <c r="C278" s="30">
        <f t="shared" si="26"/>
        <v>14.087041130727425</v>
      </c>
      <c r="D278" s="30">
        <f t="shared" si="27"/>
        <v>0.83252205320130002</v>
      </c>
      <c r="E278" s="30">
        <f t="shared" si="29"/>
        <v>41.618250000000053</v>
      </c>
      <c r="F278" s="30">
        <f t="shared" si="25"/>
        <v>47.370768337005103</v>
      </c>
    </row>
    <row r="279" spans="1:6">
      <c r="A279" s="30">
        <f t="shared" si="28"/>
        <v>0.83566364585488984</v>
      </c>
      <c r="B279">
        <f t="shared" si="24"/>
        <v>12.87894453794309</v>
      </c>
      <c r="C279" s="30">
        <f t="shared" si="26"/>
        <v>12.87894453794309</v>
      </c>
      <c r="D279" s="30">
        <f t="shared" si="27"/>
        <v>0.83566364585488984</v>
      </c>
      <c r="E279" s="30">
        <f t="shared" si="29"/>
        <v>41.775300000000051</v>
      </c>
      <c r="F279" s="30">
        <f t="shared" si="25"/>
        <v>47.367601020710396</v>
      </c>
    </row>
    <row r="280" spans="1:6">
      <c r="A280" s="30">
        <f t="shared" si="28"/>
        <v>0.83880523850847966</v>
      </c>
      <c r="B280">
        <f t="shared" si="24"/>
        <v>11.855478607065779</v>
      </c>
      <c r="C280" s="30">
        <f t="shared" si="26"/>
        <v>11.855478607065779</v>
      </c>
      <c r="D280" s="30">
        <f t="shared" si="27"/>
        <v>0.83880523850847966</v>
      </c>
      <c r="E280" s="30">
        <f t="shared" si="29"/>
        <v>41.932350000000049</v>
      </c>
      <c r="F280" s="30">
        <f t="shared" si="25"/>
        <v>47.364436217486727</v>
      </c>
    </row>
    <row r="281" spans="1:6">
      <c r="A281" s="30">
        <f t="shared" si="28"/>
        <v>0.84194683116206948</v>
      </c>
      <c r="B281">
        <f t="shared" si="24"/>
        <v>10.977306830469935</v>
      </c>
      <c r="C281" s="30">
        <f t="shared" si="26"/>
        <v>10.977306830469935</v>
      </c>
      <c r="D281" s="30">
        <f t="shared" si="27"/>
        <v>0.84194683116206948</v>
      </c>
      <c r="E281" s="30">
        <f t="shared" si="29"/>
        <v>42.089400000000047</v>
      </c>
      <c r="F281" s="30">
        <f t="shared" si="25"/>
        <v>47.361274052275107</v>
      </c>
    </row>
    <row r="282" spans="1:6">
      <c r="A282" s="30">
        <f t="shared" si="28"/>
        <v>0.8450884238156593</v>
      </c>
      <c r="B282">
        <f t="shared" si="24"/>
        <v>10.215526187734001</v>
      </c>
      <c r="C282" s="30">
        <f t="shared" si="26"/>
        <v>10.215526187734001</v>
      </c>
      <c r="D282" s="30">
        <f t="shared" si="27"/>
        <v>0.8450884238156593</v>
      </c>
      <c r="E282" s="30">
        <f t="shared" si="29"/>
        <v>42.246450000000046</v>
      </c>
      <c r="F282" s="30">
        <f t="shared" si="25"/>
        <v>47.358114649912395</v>
      </c>
    </row>
    <row r="283" spans="1:6">
      <c r="A283" s="30">
        <f t="shared" si="28"/>
        <v>0.84823001646924912</v>
      </c>
      <c r="B283">
        <f t="shared" si="24"/>
        <v>9.5484230768115008</v>
      </c>
      <c r="C283" s="30">
        <f t="shared" si="26"/>
        <v>9.5484230768115008</v>
      </c>
      <c r="D283" s="30">
        <f t="shared" si="27"/>
        <v>0.84823001646924912</v>
      </c>
      <c r="E283" s="30">
        <f t="shared" si="29"/>
        <v>42.403500000000044</v>
      </c>
      <c r="F283" s="30">
        <f t="shared" si="25"/>
        <v>47.354958135126395</v>
      </c>
    </row>
    <row r="284" spans="1:6">
      <c r="A284" s="30">
        <f t="shared" si="28"/>
        <v>0.85137160912283893</v>
      </c>
      <c r="B284">
        <f t="shared" si="24"/>
        <v>8.959368790059651</v>
      </c>
      <c r="C284" s="30">
        <f t="shared" si="26"/>
        <v>8.959368790059651</v>
      </c>
      <c r="D284" s="30">
        <f t="shared" si="27"/>
        <v>0.85137160912283893</v>
      </c>
      <c r="E284" s="30">
        <f t="shared" si="29"/>
        <v>42.560550000000042</v>
      </c>
      <c r="F284" s="30">
        <f t="shared" si="25"/>
        <v>47.351804632530907</v>
      </c>
    </row>
    <row r="285" spans="1:6">
      <c r="A285" s="30">
        <f t="shared" si="28"/>
        <v>0.85451320177642875</v>
      </c>
      <c r="B285">
        <f t="shared" si="24"/>
        <v>8.4354133607911379</v>
      </c>
      <c r="C285" s="30">
        <f t="shared" si="26"/>
        <v>8.4354133607911379</v>
      </c>
      <c r="D285" s="30">
        <f t="shared" si="27"/>
        <v>0.85451320177642875</v>
      </c>
      <c r="E285" s="30">
        <f t="shared" si="29"/>
        <v>42.71760000000004</v>
      </c>
      <c r="F285" s="30">
        <f t="shared" si="25"/>
        <v>47.348654266620805</v>
      </c>
    </row>
    <row r="286" spans="1:6">
      <c r="A286" s="30">
        <f t="shared" si="28"/>
        <v>0.85765479443001857</v>
      </c>
      <c r="B286">
        <f t="shared" si="24"/>
        <v>7.9663215763768722</v>
      </c>
      <c r="C286" s="30">
        <f t="shared" si="26"/>
        <v>7.9663215763768722</v>
      </c>
      <c r="D286" s="30">
        <f t="shared" si="27"/>
        <v>0.85765479443001857</v>
      </c>
      <c r="E286" s="30">
        <f t="shared" si="29"/>
        <v>42.874650000000038</v>
      </c>
      <c r="F286" s="30">
        <f t="shared" si="25"/>
        <v>47.345507161767145</v>
      </c>
    </row>
    <row r="287" spans="1:6">
      <c r="A287" s="30">
        <f t="shared" si="28"/>
        <v>0.86079638708360839</v>
      </c>
      <c r="B287">
        <f t="shared" si="24"/>
        <v>7.5438970228207598</v>
      </c>
      <c r="C287" s="30">
        <f t="shared" si="26"/>
        <v>7.5438970228207598</v>
      </c>
      <c r="D287" s="30">
        <f t="shared" si="27"/>
        <v>0.86079638708360839</v>
      </c>
      <c r="E287" s="30">
        <f t="shared" si="29"/>
        <v>43.031700000000036</v>
      </c>
      <c r="F287" s="30">
        <f t="shared" si="25"/>
        <v>47.342363442212246</v>
      </c>
    </row>
    <row r="288" spans="1:6">
      <c r="A288" s="30">
        <f t="shared" si="28"/>
        <v>0.86393797973719821</v>
      </c>
      <c r="B288">
        <f t="shared" si="24"/>
        <v>7.1614985186107489</v>
      </c>
      <c r="C288" s="30">
        <f t="shared" si="26"/>
        <v>7.1614985186107489</v>
      </c>
      <c r="D288" s="30">
        <f t="shared" si="27"/>
        <v>0.86393797973719821</v>
      </c>
      <c r="E288" s="30">
        <f t="shared" si="29"/>
        <v>43.188750000000034</v>
      </c>
      <c r="F288" s="30">
        <f t="shared" si="25"/>
        <v>47.339223232064761</v>
      </c>
    </row>
    <row r="289" spans="1:6">
      <c r="A289" s="30">
        <f t="shared" si="28"/>
        <v>0.86707957239078803</v>
      </c>
      <c r="B289">
        <f t="shared" si="24"/>
        <v>6.8136879472614051</v>
      </c>
      <c r="C289" s="30">
        <f t="shared" si="26"/>
        <v>6.8136879472614051</v>
      </c>
      <c r="D289" s="30">
        <f t="shared" si="27"/>
        <v>0.86707957239078803</v>
      </c>
      <c r="E289" s="30">
        <f t="shared" si="29"/>
        <v>43.345800000000033</v>
      </c>
      <c r="F289" s="30">
        <f t="shared" si="25"/>
        <v>47.336086655294814</v>
      </c>
    </row>
    <row r="290" spans="1:6">
      <c r="A290" s="30">
        <f t="shared" si="28"/>
        <v>0.87022116504437785</v>
      </c>
      <c r="B290">
        <f t="shared" si="24"/>
        <v>6.4959696377537135</v>
      </c>
      <c r="C290" s="30">
        <f t="shared" si="26"/>
        <v>6.4959696377537135</v>
      </c>
      <c r="D290" s="30">
        <f t="shared" si="27"/>
        <v>0.87022116504437785</v>
      </c>
      <c r="E290" s="30">
        <f t="shared" si="29"/>
        <v>43.502850000000031</v>
      </c>
      <c r="F290" s="30">
        <f t="shared" si="25"/>
        <v>47.332953835729086</v>
      </c>
    </row>
    <row r="291" spans="1:6">
      <c r="A291" s="30">
        <f t="shared" si="28"/>
        <v>0.87336275769796767</v>
      </c>
      <c r="B291">
        <f t="shared" si="24"/>
        <v>6.2045946810682375</v>
      </c>
      <c r="C291" s="30">
        <f t="shared" si="26"/>
        <v>6.2045946810682375</v>
      </c>
      <c r="D291" s="30">
        <f t="shared" si="27"/>
        <v>0.87336275769796767</v>
      </c>
      <c r="E291" s="30">
        <f t="shared" si="29"/>
        <v>43.659900000000029</v>
      </c>
      <c r="F291" s="30">
        <f t="shared" si="25"/>
        <v>47.329824897045931</v>
      </c>
    </row>
    <row r="292" spans="1:6">
      <c r="A292" s="30">
        <f t="shared" si="28"/>
        <v>0.87650435035155749</v>
      </c>
      <c r="B292">
        <f t="shared" si="24"/>
        <v>5.9364120593284344</v>
      </c>
      <c r="C292" s="30">
        <f t="shared" si="26"/>
        <v>5.9364120593284344</v>
      </c>
      <c r="D292" s="30">
        <f t="shared" si="27"/>
        <v>0.87650435035155749</v>
      </c>
      <c r="E292" s="30">
        <f t="shared" si="29"/>
        <v>43.816950000000027</v>
      </c>
      <c r="F292" s="30">
        <f t="shared" si="25"/>
        <v>47.326699962770491</v>
      </c>
    </row>
    <row r="293" spans="1:6">
      <c r="A293" s="30">
        <f t="shared" si="28"/>
        <v>0.87964594300514731</v>
      </c>
      <c r="B293">
        <f t="shared" si="24"/>
        <v>5.6887540232368741</v>
      </c>
      <c r="C293" s="30">
        <f t="shared" si="26"/>
        <v>5.6887540232368741</v>
      </c>
      <c r="D293" s="30">
        <f t="shared" si="27"/>
        <v>0.87964594300514731</v>
      </c>
      <c r="E293" s="30">
        <f t="shared" si="29"/>
        <v>43.974000000000025</v>
      </c>
      <c r="F293" s="30">
        <f t="shared" si="25"/>
        <v>47.323579156269815</v>
      </c>
    </row>
    <row r="294" spans="1:6">
      <c r="A294" s="30">
        <f t="shared" si="28"/>
        <v>0.88278753565873713</v>
      </c>
      <c r="B294">
        <f t="shared" si="24"/>
        <v>5.459346865131657</v>
      </c>
      <c r="C294" s="30">
        <f t="shared" si="26"/>
        <v>5.459346865131657</v>
      </c>
      <c r="D294" s="30">
        <f t="shared" si="27"/>
        <v>0.88278753565873713</v>
      </c>
      <c r="E294" s="30">
        <f t="shared" si="29"/>
        <v>44.131050000000023</v>
      </c>
      <c r="F294" s="30">
        <f t="shared" si="25"/>
        <v>47.320462600748002</v>
      </c>
    </row>
    <row r="295" spans="1:6">
      <c r="A295" s="30">
        <f t="shared" si="28"/>
        <v>0.88592912831232695</v>
      </c>
      <c r="B295">
        <f t="shared" si="24"/>
        <v>5.2462407570410914</v>
      </c>
      <c r="C295" s="30">
        <f t="shared" si="26"/>
        <v>5.2462407570410914</v>
      </c>
      <c r="D295" s="30">
        <f t="shared" si="27"/>
        <v>0.88592912831232695</v>
      </c>
      <c r="E295" s="30">
        <f t="shared" si="29"/>
        <v>44.288100000000021</v>
      </c>
      <c r="F295" s="30">
        <f t="shared" si="25"/>
        <v>47.317350419241336</v>
      </c>
    </row>
    <row r="296" spans="1:6">
      <c r="A296" s="30">
        <f t="shared" si="28"/>
        <v>0.88907072096591677</v>
      </c>
      <c r="B296">
        <f t="shared" si="24"/>
        <v>5.04775406463704</v>
      </c>
      <c r="C296" s="30">
        <f t="shared" si="26"/>
        <v>5.04775406463704</v>
      </c>
      <c r="D296" s="30">
        <f t="shared" si="27"/>
        <v>0.88907072096591677</v>
      </c>
      <c r="E296" s="30">
        <f t="shared" si="29"/>
        <v>44.445150000000019</v>
      </c>
      <c r="F296" s="30">
        <f t="shared" si="25"/>
        <v>47.314242734613401</v>
      </c>
    </row>
    <row r="297" spans="1:6">
      <c r="A297" s="30">
        <f t="shared" si="28"/>
        <v>0.89221231361950659</v>
      </c>
      <c r="B297">
        <f t="shared" si="24"/>
        <v>4.8624287684576251</v>
      </c>
      <c r="C297" s="30">
        <f t="shared" si="26"/>
        <v>4.8624287684576251</v>
      </c>
      <c r="D297" s="30">
        <f t="shared" si="27"/>
        <v>0.89221231361950659</v>
      </c>
      <c r="E297" s="30">
        <f t="shared" si="29"/>
        <v>44.602200000000018</v>
      </c>
      <c r="F297" s="30">
        <f t="shared" si="25"/>
        <v>47.311139669550272</v>
      </c>
    </row>
    <row r="298" spans="1:6">
      <c r="A298" s="30">
        <f t="shared" si="28"/>
        <v>0.89535390627309641</v>
      </c>
      <c r="B298">
        <f t="shared" si="24"/>
        <v>4.6889944908317478</v>
      </c>
      <c r="C298" s="30">
        <f t="shared" si="26"/>
        <v>4.6889944908317478</v>
      </c>
      <c r="D298" s="30">
        <f t="shared" si="27"/>
        <v>0.89535390627309641</v>
      </c>
      <c r="E298" s="30">
        <f t="shared" si="29"/>
        <v>44.759250000000016</v>
      </c>
      <c r="F298" s="30">
        <f t="shared" si="25"/>
        <v>47.30804134655564</v>
      </c>
    </row>
    <row r="299" spans="1:6">
      <c r="A299" s="30">
        <f t="shared" si="28"/>
        <v>0.89849549892668623</v>
      </c>
      <c r="B299">
        <f t="shared" si="24"/>
        <v>4.5263392507533089</v>
      </c>
      <c r="C299" s="30">
        <f t="shared" si="26"/>
        <v>4.5263392507533089</v>
      </c>
      <c r="D299" s="30">
        <f t="shared" si="27"/>
        <v>0.89849549892668623</v>
      </c>
      <c r="E299" s="30">
        <f t="shared" si="29"/>
        <v>44.916300000000014</v>
      </c>
      <c r="F299" s="30">
        <f t="shared" si="25"/>
        <v>47.304947887946</v>
      </c>
    </row>
    <row r="300" spans="1:6">
      <c r="A300" s="30">
        <f t="shared" si="28"/>
        <v>0.90163709158027605</v>
      </c>
      <c r="B300">
        <f t="shared" si="24"/>
        <v>4.3734855230528851</v>
      </c>
      <c r="C300" s="30">
        <f t="shared" si="26"/>
        <v>4.3734855230528851</v>
      </c>
      <c r="D300" s="30">
        <f t="shared" si="27"/>
        <v>0.90163709158027605</v>
      </c>
      <c r="E300" s="30">
        <f t="shared" si="29"/>
        <v>45.073350000000012</v>
      </c>
      <c r="F300" s="30">
        <f t="shared" si="25"/>
        <v>47.30185941584579</v>
      </c>
    </row>
    <row r="301" spans="1:6">
      <c r="A301" s="30">
        <f t="shared" si="28"/>
        <v>0.90477868423386587</v>
      </c>
      <c r="B301">
        <f t="shared" si="24"/>
        <v>4.2295705123968554</v>
      </c>
      <c r="C301" s="30">
        <f t="shared" si="26"/>
        <v>4.2295705123968554</v>
      </c>
      <c r="D301" s="30">
        <f t="shared" si="27"/>
        <v>0.90477868423386587</v>
      </c>
      <c r="E301" s="30">
        <f t="shared" si="29"/>
        <v>45.23040000000001</v>
      </c>
      <c r="F301" s="30">
        <f t="shared" si="25"/>
        <v>47.29877605218261</v>
      </c>
    </row>
    <row r="302" spans="1:6">
      <c r="A302" s="30">
        <f t="shared" si="28"/>
        <v>0.90792027688745569</v>
      </c>
      <c r="B302">
        <f t="shared" si="24"/>
        <v>4.0938298010916938</v>
      </c>
      <c r="C302" s="30">
        <f t="shared" si="26"/>
        <v>4.0938298010916938</v>
      </c>
      <c r="D302" s="30">
        <f t="shared" si="27"/>
        <v>0.90792027688745569</v>
      </c>
      <c r="E302" s="30">
        <f t="shared" si="29"/>
        <v>45.387450000000008</v>
      </c>
      <c r="F302" s="30">
        <f t="shared" si="25"/>
        <v>47.295697918682372</v>
      </c>
    </row>
    <row r="303" spans="1:6">
      <c r="A303" s="30">
        <f t="shared" si="28"/>
        <v>0.91106186954104551</v>
      </c>
      <c r="B303">
        <f t="shared" si="24"/>
        <v>3.9655837161459928</v>
      </c>
      <c r="C303" s="30">
        <f t="shared" si="26"/>
        <v>3.9655837161459928</v>
      </c>
      <c r="D303" s="30">
        <f t="shared" si="27"/>
        <v>0.91106186954104551</v>
      </c>
      <c r="E303" s="30">
        <f t="shared" si="29"/>
        <v>45.544500000000006</v>
      </c>
      <c r="F303" s="30">
        <f t="shared" si="25"/>
        <v>47.292625136864523</v>
      </c>
    </row>
    <row r="304" spans="1:6">
      <c r="A304" s="30">
        <f t="shared" si="28"/>
        <v>0.91420346219463533</v>
      </c>
      <c r="B304">
        <f t="shared" si="24"/>
        <v>3.8442259022579295</v>
      </c>
      <c r="C304" s="30">
        <f t="shared" si="26"/>
        <v>3.8442259022579295</v>
      </c>
      <c r="D304" s="30">
        <f t="shared" si="27"/>
        <v>0.91420346219463533</v>
      </c>
      <c r="E304" s="30">
        <f t="shared" si="29"/>
        <v>45.701550000000005</v>
      </c>
      <c r="F304" s="30">
        <f t="shared" si="25"/>
        <v>47.289557828037218</v>
      </c>
    </row>
    <row r="305" spans="1:6">
      <c r="A305" s="30">
        <f t="shared" si="28"/>
        <v>0.91734505484822515</v>
      </c>
      <c r="B305">
        <f t="shared" si="24"/>
        <v>3.7292136952364965</v>
      </c>
      <c r="C305" s="30">
        <f t="shared" si="26"/>
        <v>3.7292136952364965</v>
      </c>
      <c r="D305" s="30">
        <f t="shared" si="27"/>
        <v>0.91734505484822515</v>
      </c>
      <c r="E305" s="30">
        <f t="shared" si="29"/>
        <v>45.858600000000003</v>
      </c>
      <c r="F305" s="30">
        <f t="shared" si="25"/>
        <v>47.286496113292557</v>
      </c>
    </row>
    <row r="306" spans="1:6">
      <c r="A306" s="30">
        <f t="shared" si="28"/>
        <v>0.92048664750181497</v>
      </c>
      <c r="B306">
        <f t="shared" si="24"/>
        <v>3.6200599733702976</v>
      </c>
      <c r="C306" s="30">
        <f t="shared" si="26"/>
        <v>3.6200599733702976</v>
      </c>
      <c r="D306" s="30">
        <f t="shared" si="27"/>
        <v>0.92048664750181497</v>
      </c>
      <c r="E306" s="30">
        <f t="shared" si="29"/>
        <v>46.015650000000001</v>
      </c>
      <c r="F306" s="30">
        <f t="shared" si="25"/>
        <v>47.283440113501811</v>
      </c>
    </row>
    <row r="307" spans="1:6">
      <c r="A307" s="30">
        <f t="shared" si="28"/>
        <v>0.92362824015540479</v>
      </c>
      <c r="B307">
        <f t="shared" si="24"/>
        <v>3.516326228625041</v>
      </c>
      <c r="C307" s="30">
        <f t="shared" si="26"/>
        <v>3.516326228625041</v>
      </c>
      <c r="D307" s="30">
        <f t="shared" si="27"/>
        <v>0.92362824015540479</v>
      </c>
      <c r="E307" s="30">
        <f t="shared" si="29"/>
        <v>46.172699999999999</v>
      </c>
      <c r="F307" s="30">
        <f t="shared" si="25"/>
        <v>47.280389949310603</v>
      </c>
    </row>
    <row r="308" spans="1:6">
      <c r="A308" s="30">
        <f t="shared" si="28"/>
        <v>0.92676983280899461</v>
      </c>
      <c r="B308">
        <f t="shared" si="24"/>
        <v>3.4176166498160554</v>
      </c>
      <c r="C308" s="30">
        <f t="shared" si="26"/>
        <v>3.4176166498160554</v>
      </c>
      <c r="D308" s="30">
        <f t="shared" si="27"/>
        <v>0.92676983280899461</v>
      </c>
      <c r="E308" s="30">
        <f t="shared" si="29"/>
        <v>46.329749999999997</v>
      </c>
      <c r="F308" s="30">
        <f t="shared" si="25"/>
        <v>47.277345741134198</v>
      </c>
    </row>
    <row r="309" spans="1:6">
      <c r="A309" s="30">
        <f t="shared" si="28"/>
        <v>0.92991142546258443</v>
      </c>
      <c r="B309">
        <f t="shared" si="24"/>
        <v>3.3235730494175892</v>
      </c>
      <c r="C309" s="30">
        <f t="shared" si="26"/>
        <v>3.3235730494175892</v>
      </c>
      <c r="D309" s="30">
        <f t="shared" si="27"/>
        <v>0.92991142546258443</v>
      </c>
      <c r="E309" s="30">
        <f t="shared" si="29"/>
        <v>46.486799999999995</v>
      </c>
      <c r="F309" s="30">
        <f t="shared" si="25"/>
        <v>47.274307609152721</v>
      </c>
    </row>
    <row r="310" spans="1:6">
      <c r="A310" s="30">
        <f t="shared" si="28"/>
        <v>0.93305301811617425</v>
      </c>
      <c r="B310">
        <f t="shared" si="24"/>
        <v>3.2338704969304577</v>
      </c>
      <c r="C310" s="30">
        <f t="shared" si="26"/>
        <v>3.2338704969304577</v>
      </c>
      <c r="D310" s="30">
        <f t="shared" si="27"/>
        <v>0.93305301811617425</v>
      </c>
      <c r="E310" s="30">
        <f t="shared" si="29"/>
        <v>46.643849999999993</v>
      </c>
      <c r="F310" s="30">
        <f t="shared" si="25"/>
        <v>47.271275673306427</v>
      </c>
    </row>
    <row r="311" spans="1:6">
      <c r="A311" s="30">
        <f t="shared" si="28"/>
        <v>0.93619461076976407</v>
      </c>
      <c r="B311">
        <f t="shared" si="24"/>
        <v>3.1482135466071695</v>
      </c>
      <c r="C311" s="30">
        <f t="shared" si="26"/>
        <v>3.1482135466071695</v>
      </c>
      <c r="D311" s="30">
        <f t="shared" si="27"/>
        <v>0.93619461076976407</v>
      </c>
      <c r="E311" s="30">
        <f t="shared" si="29"/>
        <v>46.800899999999992</v>
      </c>
      <c r="F311" s="30">
        <f t="shared" si="25"/>
        <v>47.268250053290949</v>
      </c>
    </row>
    <row r="312" spans="1:6">
      <c r="A312" s="30">
        <f t="shared" si="28"/>
        <v>0.93933620342335389</v>
      </c>
      <c r="B312">
        <f t="shared" si="24"/>
        <v>3.0663329672448048</v>
      </c>
      <c r="C312" s="30">
        <f t="shared" si="26"/>
        <v>3.0663329672448048</v>
      </c>
      <c r="D312" s="30">
        <f t="shared" si="27"/>
        <v>0.93933620342335389</v>
      </c>
      <c r="E312" s="30">
        <f t="shared" si="29"/>
        <v>46.95794999999999</v>
      </c>
      <c r="F312" s="30">
        <f t="shared" si="25"/>
        <v>47.265230868552571</v>
      </c>
    </row>
    <row r="313" spans="1:6">
      <c r="A313" s="30">
        <f t="shared" si="28"/>
        <v>0.94247779607694371</v>
      </c>
      <c r="B313">
        <f t="shared" si="24"/>
        <v>2.9879828977781022</v>
      </c>
      <c r="C313" s="30">
        <f t="shared" si="26"/>
        <v>2.9879828977781022</v>
      </c>
      <c r="D313" s="30">
        <f t="shared" si="27"/>
        <v>0.94247779607694371</v>
      </c>
      <c r="E313" s="30">
        <f t="shared" si="29"/>
        <v>47.114999999999988</v>
      </c>
      <c r="F313" s="30">
        <f t="shared" si="25"/>
        <v>47.262218238283559</v>
      </c>
    </row>
    <row r="314" spans="1:6">
      <c r="A314" s="30">
        <f t="shared" si="28"/>
        <v>0.94561938873053353</v>
      </c>
      <c r="B314">
        <f t="shared" si="24"/>
        <v>2.9129383653646395</v>
      </c>
      <c r="C314" s="30">
        <f t="shared" si="26"/>
        <v>2.9129383653646395</v>
      </c>
      <c r="D314" s="30">
        <f t="shared" si="27"/>
        <v>0.94561938873053353</v>
      </c>
      <c r="E314" s="30">
        <f t="shared" si="29"/>
        <v>47.272049999999986</v>
      </c>
      <c r="F314" s="30">
        <f t="shared" si="25"/>
        <v>47.259212281417383</v>
      </c>
    </row>
    <row r="315" spans="1:6">
      <c r="A315" s="30">
        <f t="shared" si="28"/>
        <v>0.94876098138412335</v>
      </c>
      <c r="B315">
        <f t="shared" si="24"/>
        <v>2.8409931131875958</v>
      </c>
      <c r="C315" s="30">
        <f t="shared" si="26"/>
        <v>2.8409931131875958</v>
      </c>
      <c r="D315" s="30">
        <f t="shared" si="27"/>
        <v>0.94876098138412335</v>
      </c>
      <c r="E315" s="30">
        <f t="shared" si="29"/>
        <v>47.429099999999984</v>
      </c>
      <c r="F315" s="30">
        <f t="shared" si="25"/>
        <v>47.256213116624075</v>
      </c>
    </row>
    <row r="316" spans="1:6">
      <c r="A316" s="30">
        <f t="shared" si="28"/>
        <v>0.95190257403771317</v>
      </c>
      <c r="B316">
        <f t="shared" si="24"/>
        <v>2.7719576938035777</v>
      </c>
      <c r="C316" s="30">
        <f t="shared" si="26"/>
        <v>2.7719576938035777</v>
      </c>
      <c r="D316" s="30">
        <f t="shared" si="27"/>
        <v>0.95190257403771317</v>
      </c>
      <c r="E316" s="30">
        <f t="shared" si="29"/>
        <v>47.586149999999982</v>
      </c>
      <c r="F316" s="30">
        <f t="shared" si="25"/>
        <v>47.253220862305525</v>
      </c>
    </row>
    <row r="317" spans="1:6">
      <c r="A317" s="30">
        <f t="shared" si="28"/>
        <v>0.95504416669130299</v>
      </c>
      <c r="B317">
        <f t="shared" si="24"/>
        <v>2.7056577909192412</v>
      </c>
      <c r="C317" s="30">
        <f t="shared" si="26"/>
        <v>2.7056577909192412</v>
      </c>
      <c r="D317" s="30">
        <f t="shared" si="27"/>
        <v>0.95504416669130299</v>
      </c>
      <c r="E317" s="30">
        <f t="shared" si="29"/>
        <v>47.74319999999998</v>
      </c>
      <c r="F317" s="30">
        <f t="shared" si="25"/>
        <v>47.250235636590816</v>
      </c>
    </row>
    <row r="318" spans="1:6">
      <c r="A318" s="30">
        <f t="shared" si="28"/>
        <v>0.95818575934489281</v>
      </c>
      <c r="B318">
        <f t="shared" si="24"/>
        <v>2.6419327382934599</v>
      </c>
      <c r="C318" s="30">
        <f t="shared" si="26"/>
        <v>2.6419327382934599</v>
      </c>
      <c r="D318" s="30">
        <f t="shared" si="27"/>
        <v>0.95818575934489281</v>
      </c>
      <c r="E318" s="30">
        <f t="shared" si="29"/>
        <v>47.900249999999978</v>
      </c>
      <c r="F318" s="30">
        <f t="shared" si="25"/>
        <v>47.247257557331544</v>
      </c>
    </row>
    <row r="319" spans="1:6">
      <c r="A319" s="30">
        <f t="shared" si="28"/>
        <v>0.96132735199848263</v>
      </c>
      <c r="B319">
        <f t="shared" si="24"/>
        <v>2.5806342092699803</v>
      </c>
      <c r="C319" s="30">
        <f t="shared" si="26"/>
        <v>2.5806342092699803</v>
      </c>
      <c r="D319" s="30">
        <f t="shared" si="27"/>
        <v>0.96132735199848263</v>
      </c>
      <c r="E319" s="30">
        <f t="shared" si="29"/>
        <v>48.057299999999977</v>
      </c>
      <c r="F319" s="30">
        <f t="shared" si="25"/>
        <v>47.244286742097181</v>
      </c>
    </row>
    <row r="320" spans="1:6">
      <c r="A320" s="30">
        <f t="shared" si="28"/>
        <v>0.96446894465207245</v>
      </c>
      <c r="B320">
        <f t="shared" si="24"/>
        <v>2.5216250544388781</v>
      </c>
      <c r="C320" s="30">
        <f t="shared" si="26"/>
        <v>2.5216250544388781</v>
      </c>
      <c r="D320" s="30">
        <f t="shared" si="27"/>
        <v>0.96446894465207245</v>
      </c>
      <c r="E320" s="30">
        <f t="shared" si="29"/>
        <v>48.214349999999975</v>
      </c>
      <c r="F320" s="30">
        <f t="shared" si="25"/>
        <v>47.241323308170422</v>
      </c>
    </row>
    <row r="321" spans="1:6">
      <c r="A321" s="30">
        <f t="shared" si="28"/>
        <v>0.96761053730566227</v>
      </c>
      <c r="B321">
        <f t="shared" si="24"/>
        <v>2.4647782682536103</v>
      </c>
      <c r="C321" s="30">
        <f t="shared" si="26"/>
        <v>2.4647782682536103</v>
      </c>
      <c r="D321" s="30">
        <f t="shared" si="27"/>
        <v>0.96761053730566227</v>
      </c>
      <c r="E321" s="30">
        <f t="shared" si="29"/>
        <v>48.371399999999973</v>
      </c>
      <c r="F321" s="30">
        <f t="shared" si="25"/>
        <v>47.238367372542562</v>
      </c>
    </row>
    <row r="322" spans="1:6">
      <c r="A322" s="30">
        <f t="shared" si="28"/>
        <v>0.97075212995925209</v>
      </c>
      <c r="B322">
        <f t="shared" si="24"/>
        <v>2.4099760682152636</v>
      </c>
      <c r="C322" s="30">
        <f t="shared" si="26"/>
        <v>2.4099760682152636</v>
      </c>
      <c r="D322" s="30">
        <f t="shared" si="27"/>
        <v>0.97075212995925209</v>
      </c>
      <c r="E322" s="30">
        <f t="shared" si="29"/>
        <v>48.528449999999971</v>
      </c>
      <c r="F322" s="30">
        <f t="shared" si="25"/>
        <v>47.235419051908885</v>
      </c>
    </row>
    <row r="323" spans="1:6">
      <c r="A323" s="30">
        <f t="shared" si="28"/>
        <v>0.97389372261284191</v>
      </c>
      <c r="B323">
        <f t="shared" si="24"/>
        <v>2.3571090725733495</v>
      </c>
      <c r="C323" s="30">
        <f t="shared" si="26"/>
        <v>2.3571090725733495</v>
      </c>
      <c r="D323" s="30">
        <f t="shared" si="27"/>
        <v>0.97389372261284191</v>
      </c>
      <c r="E323" s="30">
        <f t="shared" si="29"/>
        <v>48.685499999999969</v>
      </c>
      <c r="F323" s="30">
        <f t="shared" si="25"/>
        <v>47.232478462664034</v>
      </c>
    </row>
    <row r="324" spans="1:6">
      <c r="A324" s="30">
        <f t="shared" si="28"/>
        <v>0.97703531526643173</v>
      </c>
      <c r="B324">
        <f t="shared" si="24"/>
        <v>2.3060755644617994</v>
      </c>
      <c r="C324" s="30">
        <f t="shared" si="26"/>
        <v>2.3060755644617994</v>
      </c>
      <c r="D324" s="30">
        <f t="shared" si="27"/>
        <v>0.97703531526643173</v>
      </c>
      <c r="E324" s="30">
        <f t="shared" si="29"/>
        <v>48.842549999999967</v>
      </c>
      <c r="F324" s="30">
        <f t="shared" si="25"/>
        <v>47.229545720897448</v>
      </c>
    </row>
    <row r="325" spans="1:6">
      <c r="A325" s="30">
        <f t="shared" si="28"/>
        <v>0.98017690792002155</v>
      </c>
      <c r="B325">
        <f t="shared" si="24"/>
        <v>2.2567808320527867</v>
      </c>
      <c r="C325" s="30">
        <f t="shared" si="26"/>
        <v>2.2567808320527867</v>
      </c>
      <c r="D325" s="30">
        <f t="shared" si="27"/>
        <v>0.98017690792002155</v>
      </c>
      <c r="E325" s="30">
        <f t="shared" si="29"/>
        <v>48.999599999999965</v>
      </c>
      <c r="F325" s="30">
        <f t="shared" si="25"/>
        <v>47.226620942388742</v>
      </c>
    </row>
    <row r="326" spans="1:6">
      <c r="A326" s="30">
        <f t="shared" si="28"/>
        <v>0.98331850057361136</v>
      </c>
      <c r="B326">
        <f t="shared" si="24"/>
        <v>2.2091365757217529</v>
      </c>
      <c r="C326" s="30">
        <f t="shared" si="26"/>
        <v>2.2091365757217529</v>
      </c>
      <c r="D326" s="30">
        <f t="shared" si="27"/>
        <v>0.98331850057361136</v>
      </c>
      <c r="E326" s="30">
        <f t="shared" si="29"/>
        <v>49.156649999999964</v>
      </c>
      <c r="F326" s="30">
        <f t="shared" si="25"/>
        <v>47.223704242603162</v>
      </c>
    </row>
    <row r="327" spans="1:6">
      <c r="A327" s="30">
        <f t="shared" si="28"/>
        <v>0.98646009322720118</v>
      </c>
      <c r="B327">
        <f t="shared" si="24"/>
        <v>2.163060374416113</v>
      </c>
      <c r="C327" s="30">
        <f t="shared" si="26"/>
        <v>2.163060374416113</v>
      </c>
      <c r="D327" s="30">
        <f t="shared" si="27"/>
        <v>0.98646009322720118</v>
      </c>
      <c r="E327" s="30">
        <f t="shared" si="29"/>
        <v>49.313699999999962</v>
      </c>
      <c r="F327" s="30">
        <f t="shared" si="25"/>
        <v>47.220795736687023</v>
      </c>
    </row>
    <row r="328" spans="1:6">
      <c r="A328" s="30">
        <f t="shared" si="28"/>
        <v>0.989601685880791</v>
      </c>
      <c r="B328">
        <f t="shared" si="24"/>
        <v>2.1184752044427824</v>
      </c>
      <c r="C328" s="30">
        <f t="shared" si="26"/>
        <v>2.1184752044427824</v>
      </c>
      <c r="D328" s="30">
        <f t="shared" si="27"/>
        <v>0.989601685880791</v>
      </c>
      <c r="E328" s="30">
        <f t="shared" si="29"/>
        <v>49.47074999999996</v>
      </c>
      <c r="F328" s="30">
        <f t="shared" si="25"/>
        <v>47.217895539463164</v>
      </c>
    </row>
    <row r="329" spans="1:6">
      <c r="A329" s="30">
        <f t="shared" si="28"/>
        <v>0.99274327853438082</v>
      </c>
      <c r="B329">
        <f t="shared" si="24"/>
        <v>2.0753090047639837</v>
      </c>
      <c r="C329" s="30">
        <f t="shared" si="26"/>
        <v>2.0753090047639837</v>
      </c>
      <c r="D329" s="30">
        <f t="shared" si="27"/>
        <v>0.99274327853438082</v>
      </c>
      <c r="E329" s="30">
        <f t="shared" si="29"/>
        <v>49.627799999999958</v>
      </c>
      <c r="F329" s="30">
        <f t="shared" si="25"/>
        <v>47.215003765426403</v>
      </c>
    </row>
    <row r="330" spans="1:6">
      <c r="A330" s="30">
        <f t="shared" si="28"/>
        <v>0.99588487118797064</v>
      </c>
      <c r="B330">
        <f t="shared" si="24"/>
        <v>2.0334942836404002</v>
      </c>
      <c r="C330" s="30">
        <f t="shared" si="26"/>
        <v>2.0334942836404002</v>
      </c>
      <c r="D330" s="30">
        <f t="shared" si="27"/>
        <v>0.99588487118797064</v>
      </c>
      <c r="E330" s="30">
        <f t="shared" si="29"/>
        <v>49.784849999999956</v>
      </c>
      <c r="F330" s="30">
        <f t="shared" si="25"/>
        <v>47.212120528739021</v>
      </c>
    </row>
    <row r="331" spans="1:6">
      <c r="A331" s="30">
        <f t="shared" si="28"/>
        <v>0.99902646384156046</v>
      </c>
      <c r="B331">
        <f t="shared" si="24"/>
        <v>1.9929677621049811</v>
      </c>
      <c r="C331" s="30">
        <f t="shared" si="26"/>
        <v>1.9929677621049811</v>
      </c>
      <c r="D331" s="30">
        <f t="shared" si="27"/>
        <v>0.99902646384156046</v>
      </c>
      <c r="E331" s="30">
        <f t="shared" si="29"/>
        <v>49.941899999999954</v>
      </c>
      <c r="F331" s="30">
        <f t="shared" si="25"/>
        <v>47.209245943226271</v>
      </c>
    </row>
    <row r="332" spans="1:6">
      <c r="A332" s="30">
        <f t="shared" si="28"/>
        <v>1.0021680564951503</v>
      </c>
      <c r="B332">
        <f t="shared" si="24"/>
        <v>1.9536700503059587</v>
      </c>
      <c r="C332" s="30">
        <f t="shared" si="26"/>
        <v>1.9536700503059587</v>
      </c>
      <c r="D332" s="30">
        <f t="shared" si="27"/>
        <v>1.0021680564951503</v>
      </c>
      <c r="E332" s="30">
        <f t="shared" si="29"/>
        <v>50.098949999999952</v>
      </c>
      <c r="F332" s="30">
        <f t="shared" si="25"/>
        <v>47.206380122371868</v>
      </c>
    </row>
    <row r="333" spans="1:6">
      <c r="A333" s="30">
        <f t="shared" si="28"/>
        <v>1.0053096491487401</v>
      </c>
      <c r="B333">
        <f t="shared" ref="B333:B396" si="30">$H$3*(SIN($H$4+A333)-SIN($H$5+A333))/(SIN($H$4+A333)-SIN(A333))-$H$6</f>
        <v>1.9155453532371971</v>
      </c>
      <c r="C333" s="30">
        <f t="shared" si="26"/>
        <v>1.9155453532371971</v>
      </c>
      <c r="D333" s="30">
        <f t="shared" si="27"/>
        <v>1.0053096491487401</v>
      </c>
      <c r="E333" s="30">
        <f t="shared" si="29"/>
        <v>50.25599999999995</v>
      </c>
      <c r="F333" s="30">
        <f t="shared" ref="F333:F396" si="31">$M$5*SIN(2*PI()/$B$7*E333+$M$4)+$M$6</f>
        <v>47.203523179313514</v>
      </c>
    </row>
    <row r="334" spans="1:6">
      <c r="A334" s="30">
        <f t="shared" si="28"/>
        <v>1.0084512418023299</v>
      </c>
      <c r="B334">
        <f t="shared" si="30"/>
        <v>1.8785412027893171</v>
      </c>
      <c r="C334" s="30">
        <f t="shared" ref="C334:C397" si="32">ABS(B334)</f>
        <v>1.8785412027893171</v>
      </c>
      <c r="D334" s="30">
        <f t="shared" ref="D334:D397" si="33">A334</f>
        <v>1.0084512418023299</v>
      </c>
      <c r="E334" s="30">
        <f t="shared" si="29"/>
        <v>50.413049999999949</v>
      </c>
      <c r="F334" s="30">
        <f t="shared" si="31"/>
        <v>47.20067522683842</v>
      </c>
    </row>
    <row r="335" spans="1:6">
      <c r="A335" s="30">
        <f t="shared" ref="A335:A398" si="34">A334+PI()/1000</f>
        <v>1.0115928344559197</v>
      </c>
      <c r="B335">
        <f t="shared" si="30"/>
        <v>1.8426082134152604</v>
      </c>
      <c r="C335" s="30">
        <f t="shared" si="32"/>
        <v>1.8426082134152604</v>
      </c>
      <c r="D335" s="30">
        <f t="shared" si="33"/>
        <v>1.0115928344559197</v>
      </c>
      <c r="E335" s="30">
        <f t="shared" ref="E335:E398" si="35">E334+$B$7/1000</f>
        <v>50.570099999999947</v>
      </c>
      <c r="F335" s="30">
        <f t="shared" si="31"/>
        <v>47.197836377378884</v>
      </c>
    </row>
    <row r="336" spans="1:6">
      <c r="A336" s="30">
        <f t="shared" si="34"/>
        <v>1.0147344271095096</v>
      </c>
      <c r="B336">
        <f t="shared" si="30"/>
        <v>1.8076998590174433</v>
      </c>
      <c r="C336" s="30">
        <f t="shared" si="32"/>
        <v>1.8076998590174433</v>
      </c>
      <c r="D336" s="30">
        <f t="shared" si="33"/>
        <v>1.0147344271095096</v>
      </c>
      <c r="E336" s="30">
        <f t="shared" si="35"/>
        <v>50.727149999999945</v>
      </c>
      <c r="F336" s="30">
        <f t="shared" si="31"/>
        <v>47.195006743007816</v>
      </c>
    </row>
    <row r="337" spans="1:6">
      <c r="A337" s="30">
        <f t="shared" si="34"/>
        <v>1.0178760197630994</v>
      </c>
      <c r="B337">
        <f t="shared" si="30"/>
        <v>1.7737722689368072</v>
      </c>
      <c r="C337" s="30">
        <f t="shared" si="32"/>
        <v>1.7737722689368072</v>
      </c>
      <c r="D337" s="30">
        <f t="shared" si="33"/>
        <v>1.0178760197630994</v>
      </c>
      <c r="E337" s="30">
        <f t="shared" si="35"/>
        <v>50.884199999999943</v>
      </c>
      <c r="F337" s="30">
        <f t="shared" si="31"/>
        <v>47.19218643543433</v>
      </c>
    </row>
    <row r="338" spans="1:6">
      <c r="A338" s="30">
        <f t="shared" si="34"/>
        <v>1.0210176124166892</v>
      </c>
      <c r="B338">
        <f t="shared" si="30"/>
        <v>1.740784041162609</v>
      </c>
      <c r="C338" s="30">
        <f t="shared" si="32"/>
        <v>1.740784041162609</v>
      </c>
      <c r="D338" s="30">
        <f t="shared" si="33"/>
        <v>1.0210176124166892</v>
      </c>
      <c r="E338" s="30">
        <f t="shared" si="35"/>
        <v>51.041249999999941</v>
      </c>
      <c r="F338" s="30">
        <f t="shared" si="31"/>
        <v>47.189375565999356</v>
      </c>
    </row>
    <row r="339" spans="1:6">
      <c r="A339" s="30">
        <f t="shared" si="34"/>
        <v>1.024159205070279</v>
      </c>
      <c r="B339">
        <f t="shared" si="30"/>
        <v>1.7086960710906181</v>
      </c>
      <c r="C339" s="30">
        <f t="shared" si="32"/>
        <v>1.7086960710906181</v>
      </c>
      <c r="D339" s="30">
        <f t="shared" si="33"/>
        <v>1.024159205070279</v>
      </c>
      <c r="E339" s="30">
        <f t="shared" si="35"/>
        <v>51.198299999999939</v>
      </c>
      <c r="F339" s="30">
        <f t="shared" si="31"/>
        <v>47.186574245671189</v>
      </c>
    </row>
    <row r="340" spans="1:6">
      <c r="A340" s="30">
        <f t="shared" si="34"/>
        <v>1.0273007977238688</v>
      </c>
      <c r="B340">
        <f t="shared" si="30"/>
        <v>1.677471394340369</v>
      </c>
      <c r="C340" s="30">
        <f t="shared" si="32"/>
        <v>1.677471394340369</v>
      </c>
      <c r="D340" s="30">
        <f t="shared" si="33"/>
        <v>1.0273007977238688</v>
      </c>
      <c r="E340" s="30">
        <f t="shared" si="35"/>
        <v>51.355349999999937</v>
      </c>
      <c r="F340" s="30">
        <f t="shared" si="31"/>
        <v>47.183782585041172</v>
      </c>
    </row>
    <row r="341" spans="1:6">
      <c r="A341" s="30">
        <f t="shared" si="34"/>
        <v>1.0304423903774587</v>
      </c>
      <c r="B341">
        <f t="shared" si="30"/>
        <v>1.6470750423030562</v>
      </c>
      <c r="C341" s="30">
        <f t="shared" si="32"/>
        <v>1.6470750423030562</v>
      </c>
      <c r="D341" s="30">
        <f t="shared" si="33"/>
        <v>1.0304423903774587</v>
      </c>
      <c r="E341" s="30">
        <f t="shared" si="35"/>
        <v>51.512399999999936</v>
      </c>
      <c r="F341" s="30">
        <f t="shared" si="31"/>
        <v>47.18100069431928</v>
      </c>
    </row>
    <row r="342" spans="1:6">
      <c r="A342" s="30">
        <f t="shared" si="34"/>
        <v>1.0335839830310485</v>
      </c>
      <c r="B342">
        <f t="shared" si="30"/>
        <v>1.6174739092331687</v>
      </c>
      <c r="C342" s="30">
        <f t="shared" si="32"/>
        <v>1.6174739092331687</v>
      </c>
      <c r="D342" s="30">
        <f t="shared" si="33"/>
        <v>1.0335839830310485</v>
      </c>
      <c r="E342" s="30">
        <f t="shared" si="35"/>
        <v>51.669449999999934</v>
      </c>
      <c r="F342" s="30">
        <f t="shared" si="31"/>
        <v>47.178228683329792</v>
      </c>
    </row>
    <row r="343" spans="1:6">
      <c r="A343" s="30">
        <f t="shared" si="34"/>
        <v>1.0367255756846383</v>
      </c>
      <c r="B343">
        <f t="shared" si="30"/>
        <v>1.5886366298217203</v>
      </c>
      <c r="C343" s="30">
        <f t="shared" si="32"/>
        <v>1.5886366298217203</v>
      </c>
      <c r="D343" s="30">
        <f t="shared" si="33"/>
        <v>1.0367255756846383</v>
      </c>
      <c r="E343" s="30">
        <f t="shared" si="35"/>
        <v>51.826499999999932</v>
      </c>
      <c r="F343" s="30">
        <f t="shared" si="31"/>
        <v>47.175466661506967</v>
      </c>
    </row>
    <row r="344" spans="1:6">
      <c r="A344" s="30">
        <f t="shared" si="34"/>
        <v>1.0398671683382281</v>
      </c>
      <c r="B344">
        <f t="shared" si="30"/>
        <v>1.5605334662991979</v>
      </c>
      <c r="C344" s="30">
        <f t="shared" si="32"/>
        <v>1.5605334662991979</v>
      </c>
      <c r="D344" s="30">
        <f t="shared" si="33"/>
        <v>1.0398671683382281</v>
      </c>
      <c r="E344" s="30">
        <f t="shared" si="35"/>
        <v>51.98354999999993</v>
      </c>
      <c r="F344" s="30">
        <f t="shared" si="31"/>
        <v>47.172714737890686</v>
      </c>
    </row>
    <row r="345" spans="1:6">
      <c r="A345" s="30">
        <f t="shared" si="34"/>
        <v>1.0430087609918179</v>
      </c>
      <c r="B345">
        <f t="shared" si="30"/>
        <v>1.5331362042139309</v>
      </c>
      <c r="C345" s="30">
        <f t="shared" si="32"/>
        <v>1.5331362042139309</v>
      </c>
      <c r="D345" s="30">
        <f t="shared" si="33"/>
        <v>1.0430087609918179</v>
      </c>
      <c r="E345" s="30">
        <f t="shared" si="35"/>
        <v>52.140599999999928</v>
      </c>
      <c r="F345" s="30">
        <f t="shared" si="31"/>
        <v>47.169973021122189</v>
      </c>
    </row>
    <row r="346" spans="1:6">
      <c r="A346" s="30">
        <f t="shared" si="34"/>
        <v>1.0461503536454078</v>
      </c>
      <c r="B346">
        <f t="shared" si="30"/>
        <v>1.5064180561179046</v>
      </c>
      <c r="C346" s="30">
        <f t="shared" si="32"/>
        <v>1.5064180561179046</v>
      </c>
      <c r="D346" s="30">
        <f t="shared" si="33"/>
        <v>1.0461503536454078</v>
      </c>
      <c r="E346" s="30">
        <f t="shared" si="35"/>
        <v>52.297649999999926</v>
      </c>
      <c r="F346" s="30">
        <f t="shared" si="31"/>
        <v>47.16724161943975</v>
      </c>
    </row>
    <row r="347" spans="1:6">
      <c r="A347" s="30">
        <f t="shared" si="34"/>
        <v>1.0492919462989976</v>
      </c>
      <c r="B347">
        <f t="shared" si="30"/>
        <v>1.4803535724688692</v>
      </c>
      <c r="C347" s="30">
        <f t="shared" si="32"/>
        <v>1.4803535724688692</v>
      </c>
      <c r="D347" s="30">
        <f t="shared" si="33"/>
        <v>1.0492919462989976</v>
      </c>
      <c r="E347" s="30">
        <f t="shared" si="35"/>
        <v>52.454699999999924</v>
      </c>
      <c r="F347" s="30">
        <f t="shared" si="31"/>
        <v>47.164520640674439</v>
      </c>
    </row>
    <row r="348" spans="1:6">
      <c r="A348" s="30">
        <f t="shared" si="34"/>
        <v>1.0524335389525874</v>
      </c>
      <c r="B348">
        <f t="shared" si="30"/>
        <v>1.454918559125677</v>
      </c>
      <c r="C348" s="30">
        <f t="shared" si="32"/>
        <v>1.454918559125677</v>
      </c>
      <c r="D348" s="30">
        <f t="shared" si="33"/>
        <v>1.0524335389525874</v>
      </c>
      <c r="E348" s="30">
        <f t="shared" si="35"/>
        <v>52.611749999999923</v>
      </c>
      <c r="F348" s="30">
        <f t="shared" si="31"/>
        <v>47.161810192245838</v>
      </c>
    </row>
    <row r="349" spans="1:6">
      <c r="A349" s="30">
        <f t="shared" si="34"/>
        <v>1.0555751316061772</v>
      </c>
      <c r="B349">
        <f t="shared" si="30"/>
        <v>1.4300900008746016</v>
      </c>
      <c r="C349" s="30">
        <f t="shared" si="32"/>
        <v>1.4300900008746016</v>
      </c>
      <c r="D349" s="30">
        <f t="shared" si="33"/>
        <v>1.0555751316061772</v>
      </c>
      <c r="E349" s="30">
        <f t="shared" si="35"/>
        <v>52.768799999999921</v>
      </c>
      <c r="F349" s="30">
        <f t="shared" si="31"/>
        <v>47.159110381157809</v>
      </c>
    </row>
    <row r="350" spans="1:6">
      <c r="A350" s="30">
        <f t="shared" si="34"/>
        <v>1.058716724259767</v>
      </c>
      <c r="B350">
        <f t="shared" si="30"/>
        <v>1.405845990478505</v>
      </c>
      <c r="C350" s="30">
        <f t="shared" si="32"/>
        <v>1.405845990478505</v>
      </c>
      <c r="D350" s="30">
        <f t="shared" si="33"/>
        <v>1.058716724259767</v>
      </c>
      <c r="E350" s="30">
        <f t="shared" si="35"/>
        <v>52.925849999999919</v>
      </c>
      <c r="F350" s="30">
        <f t="shared" si="31"/>
        <v>47.156421313994265</v>
      </c>
    </row>
    <row r="351" spans="1:6">
      <c r="A351" s="30">
        <f t="shared" si="34"/>
        <v>1.0618583169133569</v>
      </c>
      <c r="B351">
        <f t="shared" si="30"/>
        <v>1.3821656627890408</v>
      </c>
      <c r="C351" s="30">
        <f t="shared" si="32"/>
        <v>1.3821656627890408</v>
      </c>
      <c r="D351" s="30">
        <f t="shared" si="33"/>
        <v>1.0618583169133569</v>
      </c>
      <c r="E351" s="30">
        <f t="shared" si="35"/>
        <v>53.082899999999917</v>
      </c>
      <c r="F351" s="30">
        <f t="shared" si="31"/>
        <v>47.153743096914987</v>
      </c>
    </row>
    <row r="352" spans="1:6">
      <c r="A352" s="30">
        <f t="shared" si="34"/>
        <v>1.0649999095669467</v>
      </c>
      <c r="B352">
        <f t="shared" si="30"/>
        <v>1.3590291335053215</v>
      </c>
      <c r="C352" s="30">
        <f t="shared" si="32"/>
        <v>1.3590291335053215</v>
      </c>
      <c r="D352" s="30">
        <f t="shared" si="33"/>
        <v>1.0649999095669467</v>
      </c>
      <c r="E352" s="30">
        <f t="shared" si="35"/>
        <v>53.239949999999915</v>
      </c>
      <c r="F352" s="30">
        <f t="shared" si="31"/>
        <v>47.151075835651383</v>
      </c>
    </row>
    <row r="353" spans="1:6">
      <c r="A353" s="30">
        <f t="shared" si="34"/>
        <v>1.0681415022205365</v>
      </c>
      <c r="B353">
        <f t="shared" si="30"/>
        <v>1.336417442201226</v>
      </c>
      <c r="C353" s="30">
        <f t="shared" si="32"/>
        <v>1.336417442201226</v>
      </c>
      <c r="D353" s="30">
        <f t="shared" si="33"/>
        <v>1.0681415022205365</v>
      </c>
      <c r="E353" s="30">
        <f t="shared" si="35"/>
        <v>53.396999999999913</v>
      </c>
      <c r="F353" s="30">
        <f t="shared" si="31"/>
        <v>47.148419635502371</v>
      </c>
    </row>
    <row r="354" spans="1:6">
      <c r="A354" s="30">
        <f t="shared" si="34"/>
        <v>1.0712830948741263</v>
      </c>
      <c r="B354">
        <f t="shared" si="30"/>
        <v>1.3143124992782211</v>
      </c>
      <c r="C354" s="30">
        <f t="shared" si="32"/>
        <v>1.3143124992782211</v>
      </c>
      <c r="D354" s="30">
        <f t="shared" si="33"/>
        <v>1.0712830948741263</v>
      </c>
      <c r="E354" s="30">
        <f t="shared" si="35"/>
        <v>53.554049999999911</v>
      </c>
      <c r="F354" s="30">
        <f t="shared" si="31"/>
        <v>47.145774601330181</v>
      </c>
    </row>
    <row r="355" spans="1:6">
      <c r="A355" s="30">
        <f t="shared" si="34"/>
        <v>1.0744246875277161</v>
      </c>
      <c r="B355">
        <f t="shared" si="30"/>
        <v>1.2926970365316957</v>
      </c>
      <c r="C355" s="30">
        <f t="shared" si="32"/>
        <v>1.2926970365316957</v>
      </c>
      <c r="D355" s="30">
        <f t="shared" si="33"/>
        <v>1.0744246875277161</v>
      </c>
      <c r="E355" s="30">
        <f t="shared" si="35"/>
        <v>53.711099999999909</v>
      </c>
      <c r="F355" s="30">
        <f t="shared" si="31"/>
        <v>47.143140837556231</v>
      </c>
    </row>
    <row r="356" spans="1:6">
      <c r="A356" s="30">
        <f t="shared" si="34"/>
        <v>1.077566280181306</v>
      </c>
      <c r="B356">
        <f t="shared" si="30"/>
        <v>1.2715545610468824</v>
      </c>
      <c r="C356" s="30">
        <f t="shared" si="32"/>
        <v>1.2715545610468824</v>
      </c>
      <c r="D356" s="30">
        <f t="shared" si="33"/>
        <v>1.077566280181306</v>
      </c>
      <c r="E356" s="30">
        <f t="shared" si="35"/>
        <v>53.868149999999908</v>
      </c>
      <c r="F356" s="30">
        <f t="shared" si="31"/>
        <v>47.140518448157017</v>
      </c>
    </row>
    <row r="357" spans="1:6">
      <c r="A357" s="30">
        <f t="shared" si="34"/>
        <v>1.0807078728348958</v>
      </c>
      <c r="B357">
        <f t="shared" si="30"/>
        <v>1.2508693121656063</v>
      </c>
      <c r="C357" s="30">
        <f t="shared" si="32"/>
        <v>1.2508693121656063</v>
      </c>
      <c r="D357" s="30">
        <f t="shared" si="33"/>
        <v>1.0807078728348958</v>
      </c>
      <c r="E357" s="30">
        <f t="shared" si="35"/>
        <v>54.025199999999906</v>
      </c>
      <c r="F357" s="30">
        <f t="shared" si="31"/>
        <v>47.137907536659966</v>
      </c>
    </row>
    <row r="358" spans="1:6">
      <c r="A358" s="30">
        <f t="shared" si="34"/>
        <v>1.0838494654884856</v>
      </c>
      <c r="B358">
        <f t="shared" si="30"/>
        <v>1.2306262212878902</v>
      </c>
      <c r="C358" s="30">
        <f t="shared" si="32"/>
        <v>1.2306262212878902</v>
      </c>
      <c r="D358" s="30">
        <f t="shared" si="33"/>
        <v>1.0838494654884856</v>
      </c>
      <c r="E358" s="30">
        <f t="shared" si="35"/>
        <v>54.182249999999904</v>
      </c>
      <c r="F358" s="30">
        <f t="shared" si="31"/>
        <v>47.135308206139399</v>
      </c>
    </row>
    <row r="359" spans="1:6">
      <c r="A359" s="30">
        <f t="shared" si="34"/>
        <v>1.0869910581420754</v>
      </c>
      <c r="B359">
        <f t="shared" si="30"/>
        <v>1.2108108742928834</v>
      </c>
      <c r="C359" s="30">
        <f t="shared" si="32"/>
        <v>1.2108108742928834</v>
      </c>
      <c r="D359" s="30">
        <f t="shared" si="33"/>
        <v>1.0869910581420754</v>
      </c>
      <c r="E359" s="30">
        <f t="shared" si="35"/>
        <v>54.339299999999902</v>
      </c>
      <c r="F359" s="30">
        <f t="shared" si="31"/>
        <v>47.132720559212444</v>
      </c>
    </row>
    <row r="360" spans="1:6">
      <c r="A360" s="30">
        <f t="shared" si="34"/>
        <v>1.0901326507956652</v>
      </c>
      <c r="B360">
        <f t="shared" si="30"/>
        <v>1.1914094763821228</v>
      </c>
      <c r="C360" s="30">
        <f t="shared" si="32"/>
        <v>1.1914094763821228</v>
      </c>
      <c r="D360" s="30">
        <f t="shared" si="33"/>
        <v>1.0901326507956652</v>
      </c>
      <c r="E360" s="30">
        <f t="shared" si="35"/>
        <v>54.4963499999999</v>
      </c>
      <c r="F360" s="30">
        <f t="shared" si="31"/>
        <v>47.130144698034961</v>
      </c>
    </row>
    <row r="361" spans="1:6">
      <c r="A361" s="30">
        <f t="shared" si="34"/>
        <v>1.0932742434492551</v>
      </c>
      <c r="B361">
        <f t="shared" si="30"/>
        <v>1.1724088191649216</v>
      </c>
      <c r="C361" s="30">
        <f t="shared" si="32"/>
        <v>1.1724088191649216</v>
      </c>
      <c r="D361" s="30">
        <f t="shared" si="33"/>
        <v>1.0932742434492551</v>
      </c>
      <c r="E361" s="30">
        <f t="shared" si="35"/>
        <v>54.653399999999898</v>
      </c>
      <c r="F361" s="30">
        <f t="shared" si="31"/>
        <v>47.127580724297538</v>
      </c>
    </row>
    <row r="362" spans="1:6">
      <c r="A362" s="30">
        <f t="shared" si="34"/>
        <v>1.0964158361028449</v>
      </c>
      <c r="B362">
        <f t="shared" si="30"/>
        <v>1.1537962498208005</v>
      </c>
      <c r="C362" s="30">
        <f t="shared" si="32"/>
        <v>1.1537962498208005</v>
      </c>
      <c r="D362" s="30">
        <f t="shared" si="33"/>
        <v>1.0964158361028449</v>
      </c>
      <c r="E362" s="30">
        <f t="shared" si="35"/>
        <v>54.810449999999896</v>
      </c>
      <c r="F362" s="30">
        <f t="shared" si="31"/>
        <v>47.12502873922147</v>
      </c>
    </row>
    <row r="363" spans="1:6">
      <c r="A363" s="30">
        <f t="shared" si="34"/>
        <v>1.0995574287564347</v>
      </c>
      <c r="B363">
        <f t="shared" si="30"/>
        <v>1.1355596421876533</v>
      </c>
      <c r="C363" s="30">
        <f t="shared" si="32"/>
        <v>1.1355596421876533</v>
      </c>
      <c r="D363" s="30">
        <f t="shared" si="33"/>
        <v>1.0995574287564347</v>
      </c>
      <c r="E363" s="30">
        <f t="shared" si="35"/>
        <v>54.967499999999895</v>
      </c>
      <c r="F363" s="30">
        <f t="shared" si="31"/>
        <v>47.122488843554756</v>
      </c>
    </row>
    <row r="364" spans="1:6">
      <c r="A364" s="30">
        <f t="shared" si="34"/>
        <v>1.1026990214100245</v>
      </c>
      <c r="B364">
        <f t="shared" si="30"/>
        <v>1.1176873696367615</v>
      </c>
      <c r="C364" s="30">
        <f t="shared" si="32"/>
        <v>1.1176873696367615</v>
      </c>
      <c r="D364" s="30">
        <f t="shared" si="33"/>
        <v>1.1026990214100245</v>
      </c>
      <c r="E364" s="30">
        <f t="shared" si="35"/>
        <v>55.124549999999893</v>
      </c>
      <c r="F364" s="30">
        <f t="shared" si="31"/>
        <v>47.119961137568133</v>
      </c>
    </row>
    <row r="365" spans="1:6">
      <c r="A365" s="30">
        <f t="shared" si="34"/>
        <v>1.1058406140636143</v>
      </c>
      <c r="B365">
        <f t="shared" si="30"/>
        <v>1.1001682796071559</v>
      </c>
      <c r="C365" s="30">
        <f t="shared" si="32"/>
        <v>1.1001682796071559</v>
      </c>
      <c r="D365" s="30">
        <f t="shared" si="33"/>
        <v>1.1058406140636143</v>
      </c>
      <c r="E365" s="30">
        <f t="shared" si="35"/>
        <v>55.281599999999891</v>
      </c>
      <c r="F365" s="30">
        <f t="shared" si="31"/>
        <v>47.117445721051105</v>
      </c>
    </row>
    <row r="366" spans="1:6">
      <c r="A366" s="30">
        <f t="shared" si="34"/>
        <v>1.1089822067172042</v>
      </c>
      <c r="B366">
        <f t="shared" si="30"/>
        <v>1.0829916696820974</v>
      </c>
      <c r="C366" s="30">
        <f t="shared" si="32"/>
        <v>1.0829916696820974</v>
      </c>
      <c r="D366" s="30">
        <f t="shared" si="33"/>
        <v>1.1089822067172042</v>
      </c>
      <c r="E366" s="30">
        <f t="shared" si="35"/>
        <v>55.438649999999889</v>
      </c>
      <c r="F366" s="30">
        <f t="shared" si="31"/>
        <v>47.114942693308002</v>
      </c>
    </row>
    <row r="367" spans="1:6">
      <c r="A367" s="30">
        <f t="shared" si="34"/>
        <v>1.112123799370794</v>
      </c>
      <c r="B367">
        <f t="shared" si="30"/>
        <v>1.0661472650997996</v>
      </c>
      <c r="C367" s="30">
        <f t="shared" si="32"/>
        <v>1.0661472650997996</v>
      </c>
      <c r="D367" s="30">
        <f t="shared" si="33"/>
        <v>1.112123799370794</v>
      </c>
      <c r="E367" s="30">
        <f t="shared" si="35"/>
        <v>55.595699999999887</v>
      </c>
      <c r="F367" s="30">
        <f t="shared" si="31"/>
        <v>47.112452153154081</v>
      </c>
    </row>
    <row r="368" spans="1:6">
      <c r="A368" s="30">
        <f t="shared" si="34"/>
        <v>1.1152653920243838</v>
      </c>
      <c r="B368">
        <f t="shared" si="30"/>
        <v>1.0496251975990754</v>
      </c>
      <c r="C368" s="30">
        <f t="shared" si="32"/>
        <v>1.0496251975990754</v>
      </c>
      <c r="D368" s="30">
        <f t="shared" si="33"/>
        <v>1.1152653920243838</v>
      </c>
      <c r="E368" s="30">
        <f t="shared" si="35"/>
        <v>55.752749999999885</v>
      </c>
      <c r="F368" s="30">
        <f t="shared" si="31"/>
        <v>47.109974198911601</v>
      </c>
    </row>
    <row r="369" spans="1:6">
      <c r="A369" s="30">
        <f t="shared" si="34"/>
        <v>1.1184069846779736</v>
      </c>
      <c r="B369">
        <f t="shared" si="30"/>
        <v>1.0334159855083631</v>
      </c>
      <c r="C369" s="30">
        <f t="shared" si="32"/>
        <v>1.0334159855083631</v>
      </c>
      <c r="D369" s="30">
        <f t="shared" si="33"/>
        <v>1.1184069846779736</v>
      </c>
      <c r="E369" s="30">
        <f t="shared" si="35"/>
        <v>55.909799999999883</v>
      </c>
      <c r="F369" s="30">
        <f t="shared" si="31"/>
        <v>47.107508928405949</v>
      </c>
    </row>
    <row r="370" spans="1:6">
      <c r="A370" s="30">
        <f t="shared" si="34"/>
        <v>1.1215485773315634</v>
      </c>
      <c r="B370">
        <f t="shared" si="30"/>
        <v>1.0175105149937136</v>
      </c>
      <c r="C370" s="30">
        <f t="shared" si="32"/>
        <v>1.0175105149937136</v>
      </c>
      <c r="D370" s="30">
        <f t="shared" si="33"/>
        <v>1.1215485773315634</v>
      </c>
      <c r="E370" s="30">
        <f t="shared" si="35"/>
        <v>56.066849999999882</v>
      </c>
      <c r="F370" s="30">
        <f t="shared" si="31"/>
        <v>47.105056438961789</v>
      </c>
    </row>
    <row r="371" spans="1:6">
      <c r="A371" s="30">
        <f t="shared" si="34"/>
        <v>1.1246901699851533</v>
      </c>
      <c r="B371">
        <f t="shared" si="30"/>
        <v>1.0019000223877794</v>
      </c>
      <c r="C371" s="30">
        <f t="shared" si="32"/>
        <v>1.0019000223877794</v>
      </c>
      <c r="D371" s="30">
        <f t="shared" si="33"/>
        <v>1.1246901699851533</v>
      </c>
      <c r="E371" s="30">
        <f t="shared" si="35"/>
        <v>56.22389999999988</v>
      </c>
      <c r="F371" s="30">
        <f t="shared" si="31"/>
        <v>47.102616827399203</v>
      </c>
    </row>
    <row r="372" spans="1:6">
      <c r="A372" s="30">
        <f t="shared" si="34"/>
        <v>1.1278317626387431</v>
      </c>
      <c r="B372">
        <f t="shared" si="30"/>
        <v>0.98657607752778609</v>
      </c>
      <c r="C372" s="30">
        <f t="shared" si="32"/>
        <v>0.98657607752778609</v>
      </c>
      <c r="D372" s="30">
        <f t="shared" si="33"/>
        <v>1.1278317626387431</v>
      </c>
      <c r="E372" s="30">
        <f t="shared" si="35"/>
        <v>56.380949999999878</v>
      </c>
      <c r="F372" s="30">
        <f t="shared" si="31"/>
        <v>47.100190190029871</v>
      </c>
    </row>
    <row r="373" spans="1:6">
      <c r="A373" s="30">
        <f t="shared" si="34"/>
        <v>1.1309733552923329</v>
      </c>
      <c r="B373">
        <f t="shared" si="30"/>
        <v>0.9715305680359192</v>
      </c>
      <c r="C373" s="30">
        <f t="shared" si="32"/>
        <v>0.9715305680359192</v>
      </c>
      <c r="D373" s="30">
        <f t="shared" si="33"/>
        <v>1.1309733552923329</v>
      </c>
      <c r="E373" s="30">
        <f t="shared" si="35"/>
        <v>56.537999999999876</v>
      </c>
      <c r="F373" s="30">
        <f t="shared" si="31"/>
        <v>47.097776622653292</v>
      </c>
    </row>
    <row r="374" spans="1:6">
      <c r="A374" s="30">
        <f t="shared" si="34"/>
        <v>1.1341149479459227</v>
      </c>
      <c r="B374">
        <f t="shared" si="30"/>
        <v>0.95675568448052428</v>
      </c>
      <c r="C374" s="30">
        <f t="shared" si="32"/>
        <v>0.95675568448052428</v>
      </c>
      <c r="D374" s="30">
        <f t="shared" si="33"/>
        <v>1.1341149479459227</v>
      </c>
      <c r="E374" s="30">
        <f t="shared" si="35"/>
        <v>56.695049999999874</v>
      </c>
      <c r="F374" s="30">
        <f t="shared" si="31"/>
        <v>47.095376220552964</v>
      </c>
    </row>
    <row r="375" spans="1:6">
      <c r="A375" s="30">
        <f t="shared" si="34"/>
        <v>1.1372565405995125</v>
      </c>
      <c r="B375">
        <f t="shared" si="30"/>
        <v>0.9422439063610577</v>
      </c>
      <c r="C375" s="30">
        <f t="shared" si="32"/>
        <v>0.9422439063610577</v>
      </c>
      <c r="D375" s="30">
        <f t="shared" si="33"/>
        <v>1.1372565405995125</v>
      </c>
      <c r="E375" s="30">
        <f t="shared" si="35"/>
        <v>56.852099999999872</v>
      </c>
      <c r="F375" s="30">
        <f t="shared" si="31"/>
        <v>47.092989078492657</v>
      </c>
    </row>
    <row r="376" spans="1:6">
      <c r="A376" s="30">
        <f t="shared" si="34"/>
        <v>1.1403981332531024</v>
      </c>
      <c r="B376">
        <f t="shared" si="30"/>
        <v>0.92798798886393463</v>
      </c>
      <c r="C376" s="30">
        <f t="shared" si="32"/>
        <v>0.92798798886393463</v>
      </c>
      <c r="D376" s="30">
        <f t="shared" si="33"/>
        <v>1.1403981332531024</v>
      </c>
      <c r="E376" s="30">
        <f t="shared" si="35"/>
        <v>57.00914999999987</v>
      </c>
      <c r="F376" s="30">
        <f t="shared" si="31"/>
        <v>47.090615290712655</v>
      </c>
    </row>
    <row r="377" spans="1:6">
      <c r="A377" s="30">
        <f t="shared" si="34"/>
        <v>1.1435397259066922</v>
      </c>
      <c r="B377">
        <f t="shared" si="30"/>
        <v>0.9139809503402474</v>
      </c>
      <c r="C377" s="30">
        <f t="shared" si="32"/>
        <v>0.9139809503402474</v>
      </c>
      <c r="D377" s="30">
        <f t="shared" si="33"/>
        <v>1.1435397259066922</v>
      </c>
      <c r="E377" s="30">
        <f t="shared" si="35"/>
        <v>57.166199999999868</v>
      </c>
      <c r="F377" s="30">
        <f t="shared" si="31"/>
        <v>47.088254950926029</v>
      </c>
    </row>
    <row r="378" spans="1:6">
      <c r="A378" s="30">
        <f t="shared" si="34"/>
        <v>1.146681318560282</v>
      </c>
      <c r="B378">
        <f t="shared" si="30"/>
        <v>0.90021606045987657</v>
      </c>
      <c r="C378" s="30">
        <f t="shared" si="32"/>
        <v>0.90021606045987657</v>
      </c>
      <c r="D378" s="30">
        <f t="shared" si="33"/>
        <v>1.146681318560282</v>
      </c>
      <c r="E378" s="30">
        <f t="shared" si="35"/>
        <v>57.323249999999867</v>
      </c>
      <c r="F378" s="30">
        <f t="shared" si="31"/>
        <v>47.085908152314957</v>
      </c>
    </row>
    <row r="379" spans="1:6">
      <c r="A379" s="30">
        <f t="shared" si="34"/>
        <v>1.1498229112138718</v>
      </c>
      <c r="B379">
        <f t="shared" si="30"/>
        <v>0.88668682899973983</v>
      </c>
      <c r="C379" s="30">
        <f t="shared" si="32"/>
        <v>0.88668682899973983</v>
      </c>
      <c r="D379" s="30">
        <f t="shared" si="33"/>
        <v>1.1498229112138718</v>
      </c>
      <c r="E379" s="30">
        <f t="shared" si="35"/>
        <v>57.480299999999865</v>
      </c>
      <c r="F379" s="30">
        <f t="shared" si="31"/>
        <v>47.083574987527022</v>
      </c>
    </row>
    <row r="380" spans="1:6">
      <c r="A380" s="30">
        <f t="shared" si="34"/>
        <v>1.1529645038674616</v>
      </c>
      <c r="B380">
        <f t="shared" si="30"/>
        <v>0.8733869952269242</v>
      </c>
      <c r="C380" s="30">
        <f t="shared" si="32"/>
        <v>0.8733869952269242</v>
      </c>
      <c r="D380" s="30">
        <f t="shared" si="33"/>
        <v>1.1529645038674616</v>
      </c>
      <c r="E380" s="30">
        <f t="shared" si="35"/>
        <v>57.637349999999863</v>
      </c>
      <c r="F380" s="30">
        <f t="shared" si="31"/>
        <v>47.081255548671585</v>
      </c>
    </row>
    <row r="381" spans="1:6">
      <c r="A381" s="30">
        <f t="shared" si="34"/>
        <v>1.1561060965210515</v>
      </c>
      <c r="B381">
        <f t="shared" si="30"/>
        <v>0.86031051784019841</v>
      </c>
      <c r="C381" s="30">
        <f t="shared" si="32"/>
        <v>0.86031051784019841</v>
      </c>
      <c r="D381" s="30">
        <f t="shared" si="33"/>
        <v>1.1561060965210515</v>
      </c>
      <c r="E381" s="30">
        <f t="shared" si="35"/>
        <v>57.794399999999861</v>
      </c>
      <c r="F381" s="30">
        <f t="shared" si="31"/>
        <v>47.078949927316117</v>
      </c>
    </row>
    <row r="382" spans="1:6">
      <c r="A382" s="30">
        <f t="shared" si="34"/>
        <v>1.1592476891746413</v>
      </c>
      <c r="B382">
        <f t="shared" si="30"/>
        <v>0.84745156543595113</v>
      </c>
      <c r="C382" s="30">
        <f t="shared" si="32"/>
        <v>0.84745156543595113</v>
      </c>
      <c r="D382" s="30">
        <f t="shared" si="33"/>
        <v>1.1592476891746413</v>
      </c>
      <c r="E382" s="30">
        <f t="shared" si="35"/>
        <v>57.951449999999859</v>
      </c>
      <c r="F382" s="30">
        <f t="shared" si="31"/>
        <v>47.076658214482599</v>
      </c>
    </row>
    <row r="383" spans="1:6">
      <c r="A383" s="30">
        <f t="shared" si="34"/>
        <v>1.1623892818282311</v>
      </c>
      <c r="B383">
        <f t="shared" si="30"/>
        <v>0.83480450746692747</v>
      </c>
      <c r="C383" s="30">
        <f t="shared" si="32"/>
        <v>0.83480450746692747</v>
      </c>
      <c r="D383" s="30">
        <f t="shared" si="33"/>
        <v>1.1623892818282311</v>
      </c>
      <c r="E383" s="30">
        <f t="shared" si="35"/>
        <v>58.108499999999857</v>
      </c>
      <c r="F383" s="30">
        <f t="shared" si="31"/>
        <v>47.074380500643926</v>
      </c>
    </row>
    <row r="384" spans="1:6">
      <c r="A384" s="30">
        <f t="shared" si="34"/>
        <v>1.1655308744818209</v>
      </c>
      <c r="B384">
        <f t="shared" si="30"/>
        <v>0.8223639056642833</v>
      </c>
      <c r="C384" s="30">
        <f t="shared" si="32"/>
        <v>0.8223639056642833</v>
      </c>
      <c r="D384" s="30">
        <f t="shared" si="33"/>
        <v>1.1655308744818209</v>
      </c>
      <c r="E384" s="30">
        <f t="shared" si="35"/>
        <v>58.265549999999855</v>
      </c>
      <c r="F384" s="30">
        <f t="shared" si="31"/>
        <v>47.072116875720347</v>
      </c>
    </row>
    <row r="385" spans="1:6">
      <c r="A385" s="30">
        <f t="shared" si="34"/>
        <v>1.1686724671354107</v>
      </c>
      <c r="B385">
        <f t="shared" si="30"/>
        <v>0.81012450589551444</v>
      </c>
      <c r="C385" s="30">
        <f t="shared" si="32"/>
        <v>0.81012450589551444</v>
      </c>
      <c r="D385" s="30">
        <f t="shared" si="33"/>
        <v>1.1686724671354107</v>
      </c>
      <c r="E385" s="30">
        <f t="shared" si="35"/>
        <v>58.422599999999854</v>
      </c>
      <c r="F385" s="30">
        <f t="shared" si="31"/>
        <v>47.069867429075899</v>
      </c>
    </row>
    <row r="386" spans="1:6">
      <c r="A386" s="30">
        <f t="shared" si="34"/>
        <v>1.1718140597890006</v>
      </c>
      <c r="B386">
        <f t="shared" si="30"/>
        <v>0.79808123043262769</v>
      </c>
      <c r="C386" s="30">
        <f t="shared" si="32"/>
        <v>0.79808123043262769</v>
      </c>
      <c r="D386" s="30">
        <f t="shared" si="33"/>
        <v>1.1718140597890006</v>
      </c>
      <c r="E386" s="30">
        <f t="shared" si="35"/>
        <v>58.579649999999852</v>
      </c>
      <c r="F386" s="30">
        <f t="shared" si="31"/>
        <v>47.06763224951488</v>
      </c>
    </row>
    <row r="387" spans="1:6">
      <c r="A387" s="30">
        <f t="shared" si="34"/>
        <v>1.1749556524425904</v>
      </c>
      <c r="B387">
        <f t="shared" si="30"/>
        <v>0.78622917060663999</v>
      </c>
      <c r="C387" s="30">
        <f t="shared" si="32"/>
        <v>0.78622917060663999</v>
      </c>
      <c r="D387" s="30">
        <f t="shared" si="33"/>
        <v>1.1749556524425904</v>
      </c>
      <c r="E387" s="30">
        <f t="shared" si="35"/>
        <v>58.73669999999985</v>
      </c>
      <c r="F387" s="30">
        <f t="shared" si="31"/>
        <v>47.065411425278349</v>
      </c>
    </row>
    <row r="388" spans="1:6">
      <c r="A388" s="30">
        <f t="shared" si="34"/>
        <v>1.1780972450961802</v>
      </c>
      <c r="B388">
        <f t="shared" si="30"/>
        <v>0.77456357982607327</v>
      </c>
      <c r="C388" s="30">
        <f t="shared" si="32"/>
        <v>0.77456357982607327</v>
      </c>
      <c r="D388" s="30">
        <f t="shared" si="33"/>
        <v>1.1780972450961802</v>
      </c>
      <c r="E388" s="30">
        <f t="shared" si="35"/>
        <v>58.893749999999848</v>
      </c>
      <c r="F388" s="30">
        <f t="shared" si="31"/>
        <v>47.06320504404065</v>
      </c>
    </row>
    <row r="389" spans="1:6">
      <c r="A389" s="30">
        <f t="shared" si="34"/>
        <v>1.18123883774977</v>
      </c>
      <c r="B389">
        <f t="shared" si="30"/>
        <v>0.76307986693855967</v>
      </c>
      <c r="C389" s="30">
        <f t="shared" si="32"/>
        <v>0.76307986693855967</v>
      </c>
      <c r="D389" s="30">
        <f t="shared" si="33"/>
        <v>1.18123883774977</v>
      </c>
      <c r="E389" s="30">
        <f t="shared" si="35"/>
        <v>59.050799999999846</v>
      </c>
      <c r="F389" s="30">
        <f t="shared" si="31"/>
        <v>47.061013192905939</v>
      </c>
    </row>
    <row r="390" spans="1:6">
      <c r="A390" s="30">
        <f t="shared" si="34"/>
        <v>1.1843804304033598</v>
      </c>
      <c r="B390">
        <f t="shared" si="30"/>
        <v>0.75177358991607313</v>
      </c>
      <c r="C390" s="30">
        <f t="shared" si="32"/>
        <v>0.75177358991607313</v>
      </c>
      <c r="D390" s="30">
        <f t="shared" si="33"/>
        <v>1.1843804304033598</v>
      </c>
      <c r="E390" s="30">
        <f t="shared" si="35"/>
        <v>59.207849999999844</v>
      </c>
      <c r="F390" s="30">
        <f t="shared" si="31"/>
        <v>47.058835958404735</v>
      </c>
    </row>
    <row r="391" spans="1:6">
      <c r="A391" s="30">
        <f t="shared" si="34"/>
        <v>1.1875220230569496</v>
      </c>
      <c r="B391">
        <f t="shared" si="30"/>
        <v>0.7406404498455037</v>
      </c>
      <c r="C391" s="30">
        <f t="shared" si="32"/>
        <v>0.7406404498455037</v>
      </c>
      <c r="D391" s="30">
        <f t="shared" si="33"/>
        <v>1.1875220230569496</v>
      </c>
      <c r="E391" s="30">
        <f t="shared" si="35"/>
        <v>59.364899999999842</v>
      </c>
      <c r="F391" s="30">
        <f t="shared" si="31"/>
        <v>47.056673426490534</v>
      </c>
    </row>
    <row r="392" spans="1:6">
      <c r="A392" s="30">
        <f t="shared" si="34"/>
        <v>1.1906636157105395</v>
      </c>
      <c r="B392">
        <f t="shared" si="30"/>
        <v>0.7296762852074945</v>
      </c>
      <c r="C392" s="30">
        <f t="shared" si="32"/>
        <v>0.7296762852074945</v>
      </c>
      <c r="D392" s="30">
        <f t="shared" si="33"/>
        <v>1.1906636157105395</v>
      </c>
      <c r="E392" s="30">
        <f t="shared" si="35"/>
        <v>59.52194999999984</v>
      </c>
      <c r="F392" s="30">
        <f t="shared" si="31"/>
        <v>47.054525682536394</v>
      </c>
    </row>
    <row r="393" spans="1:6">
      <c r="A393" s="30">
        <f t="shared" si="34"/>
        <v>1.1938052083641293</v>
      </c>
      <c r="B393">
        <f t="shared" si="30"/>
        <v>0.71887706642753435</v>
      </c>
      <c r="C393" s="30">
        <f t="shared" si="32"/>
        <v>0.71887706642753435</v>
      </c>
      <c r="D393" s="30">
        <f t="shared" si="33"/>
        <v>1.1938052083641293</v>
      </c>
      <c r="E393" s="30">
        <f t="shared" si="35"/>
        <v>59.678999999999839</v>
      </c>
      <c r="F393" s="30">
        <f t="shared" si="31"/>
        <v>47.052392811331572</v>
      </c>
    </row>
    <row r="394" spans="1:6">
      <c r="A394" s="30">
        <f t="shared" si="34"/>
        <v>1.1969468010177191</v>
      </c>
      <c r="B394">
        <f t="shared" si="30"/>
        <v>0.70823889068431845</v>
      </c>
      <c r="C394" s="30">
        <f t="shared" si="32"/>
        <v>0.70823889068431845</v>
      </c>
      <c r="D394" s="30">
        <f t="shared" si="33"/>
        <v>1.1969468010177191</v>
      </c>
      <c r="E394" s="30">
        <f t="shared" si="35"/>
        <v>59.836049999999837</v>
      </c>
      <c r="F394" s="30">
        <f t="shared" si="31"/>
        <v>47.050274897078161</v>
      </c>
    </row>
    <row r="395" spans="1:6">
      <c r="A395" s="30">
        <f t="shared" si="34"/>
        <v>1.2000883936713089</v>
      </c>
      <c r="B395">
        <f t="shared" si="30"/>
        <v>0.69775797696131558</v>
      </c>
      <c r="C395" s="30">
        <f t="shared" si="32"/>
        <v>0.69775797696131558</v>
      </c>
      <c r="D395" s="30">
        <f t="shared" si="33"/>
        <v>1.2000883936713089</v>
      </c>
      <c r="E395" s="30">
        <f t="shared" si="35"/>
        <v>59.993099999999835</v>
      </c>
      <c r="F395" s="30">
        <f t="shared" si="31"/>
        <v>47.048172023387799</v>
      </c>
    </row>
    <row r="396" spans="1:6">
      <c r="A396" s="30">
        <f t="shared" si="34"/>
        <v>1.2032299863248987</v>
      </c>
      <c r="B396">
        <f t="shared" si="30"/>
        <v>0.68743066132833497</v>
      </c>
      <c r="C396" s="30">
        <f t="shared" si="32"/>
        <v>0.68743066132833497</v>
      </c>
      <c r="D396" s="30">
        <f t="shared" si="33"/>
        <v>1.2032299863248987</v>
      </c>
      <c r="E396" s="30">
        <f t="shared" si="35"/>
        <v>60.150149999999833</v>
      </c>
      <c r="F396" s="30">
        <f t="shared" si="31"/>
        <v>47.046084273278332</v>
      </c>
    </row>
    <row r="397" spans="1:6">
      <c r="A397" s="30">
        <f t="shared" si="34"/>
        <v>1.2063715789784886</v>
      </c>
      <c r="B397">
        <f t="shared" ref="B397:B460" si="36">$H$3*(SIN($H$4+A397)-SIN($H$5+A397))/(SIN($H$4+A397)-SIN(A397))-$H$6</f>
        <v>0.67725339244073224</v>
      </c>
      <c r="C397" s="30">
        <f t="shared" si="32"/>
        <v>0.67725339244073224</v>
      </c>
      <c r="D397" s="30">
        <f t="shared" si="33"/>
        <v>1.2063715789784886</v>
      </c>
      <c r="E397" s="30">
        <f t="shared" si="35"/>
        <v>60.307199999999831</v>
      </c>
      <c r="F397" s="30">
        <f t="shared" ref="F397:F460" si="37">$M$5*SIN(2*PI()/$B$7*E397+$M$4)+$M$6</f>
        <v>47.044011729170563</v>
      </c>
    </row>
    <row r="398" spans="1:6">
      <c r="A398" s="30">
        <f t="shared" si="34"/>
        <v>1.2095131716320784</v>
      </c>
      <c r="B398">
        <f t="shared" si="36"/>
        <v>0.6672227272446376</v>
      </c>
      <c r="C398" s="30">
        <f t="shared" ref="C398:C461" si="38">ABS(B398)</f>
        <v>0.6672227272446376</v>
      </c>
      <c r="D398" s="30">
        <f t="shared" ref="D398:D461" si="39">A398</f>
        <v>1.2095131716320784</v>
      </c>
      <c r="E398" s="30">
        <f t="shared" si="35"/>
        <v>60.464249999999829</v>
      </c>
      <c r="F398" s="30">
        <f t="shared" si="37"/>
        <v>47.041954472884989</v>
      </c>
    </row>
    <row r="399" spans="1:6">
      <c r="A399" s="30">
        <f t="shared" ref="A399:A462" si="40">A398+PI()/1000</f>
        <v>1.2126547642856682</v>
      </c>
      <c r="B399">
        <f t="shared" si="36"/>
        <v>0.65733532687727325</v>
      </c>
      <c r="C399" s="30">
        <f t="shared" si="38"/>
        <v>0.65733532687727325</v>
      </c>
      <c r="D399" s="30">
        <f t="shared" si="39"/>
        <v>1.2126547642856682</v>
      </c>
      <c r="E399" s="30">
        <f t="shared" ref="E399:E462" si="41">E398+$B$7/1000</f>
        <v>60.621299999999827</v>
      </c>
      <c r="F399" s="30">
        <f t="shared" si="37"/>
        <v>47.039912585638554</v>
      </c>
    </row>
    <row r="400" spans="1:6">
      <c r="A400" s="30">
        <f t="shared" si="40"/>
        <v>1.215796356939258</v>
      </c>
      <c r="B400">
        <f t="shared" si="36"/>
        <v>0.64758795275210002</v>
      </c>
      <c r="C400" s="30">
        <f t="shared" si="38"/>
        <v>0.64758795275210002</v>
      </c>
      <c r="D400" s="30">
        <f t="shared" si="39"/>
        <v>1.215796356939258</v>
      </c>
      <c r="E400" s="30">
        <f t="shared" si="41"/>
        <v>60.778349999999826</v>
      </c>
      <c r="F400" s="30">
        <f t="shared" si="37"/>
        <v>47.03788614804148</v>
      </c>
    </row>
    <row r="401" spans="1:6">
      <c r="A401" s="30">
        <f t="shared" si="40"/>
        <v>1.2189379495928478</v>
      </c>
      <c r="B401">
        <f t="shared" si="36"/>
        <v>0.63797746281915146</v>
      </c>
      <c r="C401" s="30">
        <f t="shared" si="38"/>
        <v>0.63797746281915146</v>
      </c>
      <c r="D401" s="30">
        <f t="shared" si="39"/>
        <v>1.2189379495928478</v>
      </c>
      <c r="E401" s="30">
        <f t="shared" si="41"/>
        <v>60.935399999999824</v>
      </c>
      <c r="F401" s="30">
        <f t="shared" si="37"/>
        <v>47.03587524009405</v>
      </c>
    </row>
    <row r="402" spans="1:6">
      <c r="A402" s="30">
        <f t="shared" si="40"/>
        <v>1.2220795422464377</v>
      </c>
      <c r="B402">
        <f t="shared" si="36"/>
        <v>0.62850080799147112</v>
      </c>
      <c r="C402" s="30">
        <f t="shared" si="38"/>
        <v>0.62850080799147112</v>
      </c>
      <c r="D402" s="30">
        <f t="shared" si="39"/>
        <v>1.2220795422464377</v>
      </c>
      <c r="E402" s="30">
        <f t="shared" si="41"/>
        <v>61.092449999999822</v>
      </c>
      <c r="F402" s="30">
        <f t="shared" si="37"/>
        <v>47.033879941183464</v>
      </c>
    </row>
    <row r="403" spans="1:6">
      <c r="A403" s="30">
        <f t="shared" si="40"/>
        <v>1.2252211349000275</v>
      </c>
      <c r="B403">
        <f t="shared" si="36"/>
        <v>0.61915502872911699</v>
      </c>
      <c r="C403" s="30">
        <f t="shared" si="38"/>
        <v>0.61915502872911699</v>
      </c>
      <c r="D403" s="30">
        <f t="shared" si="39"/>
        <v>1.2252211349000275</v>
      </c>
      <c r="E403" s="30">
        <f t="shared" si="41"/>
        <v>61.24949999999982</v>
      </c>
      <c r="F403" s="30">
        <f t="shared" si="37"/>
        <v>47.031900330080717</v>
      </c>
    </row>
    <row r="404" spans="1:6">
      <c r="A404" s="30">
        <f t="shared" si="40"/>
        <v>1.2283627275536173</v>
      </c>
      <c r="B404">
        <f t="shared" si="36"/>
        <v>0.609937251772672</v>
      </c>
      <c r="C404" s="30">
        <f t="shared" si="38"/>
        <v>0.609937251772672</v>
      </c>
      <c r="D404" s="30">
        <f t="shared" si="39"/>
        <v>1.2283627275536173</v>
      </c>
      <c r="E404" s="30">
        <f t="shared" si="41"/>
        <v>61.406549999999818</v>
      </c>
      <c r="F404" s="30">
        <f t="shared" si="37"/>
        <v>47.029936484937451</v>
      </c>
    </row>
    <row r="405" spans="1:6">
      <c r="A405" s="30">
        <f t="shared" si="40"/>
        <v>1.2315043202072071</v>
      </c>
      <c r="B405">
        <f t="shared" si="36"/>
        <v>0.60084468701869098</v>
      </c>
      <c r="C405" s="30">
        <f t="shared" si="38"/>
        <v>0.60084468701869098</v>
      </c>
      <c r="D405" s="30">
        <f t="shared" si="39"/>
        <v>1.2315043202072071</v>
      </c>
      <c r="E405" s="30">
        <f t="shared" si="41"/>
        <v>61.563599999999816</v>
      </c>
      <c r="F405" s="30">
        <f t="shared" si="37"/>
        <v>47.027988483282918</v>
      </c>
    </row>
    <row r="406" spans="1:6">
      <c r="A406" s="30">
        <f t="shared" si="40"/>
        <v>1.2346459128607969</v>
      </c>
      <c r="B406">
        <f t="shared" si="36"/>
        <v>0.5918746245299451</v>
      </c>
      <c r="C406" s="30">
        <f t="shared" si="38"/>
        <v>0.5918746245299451</v>
      </c>
      <c r="D406" s="30">
        <f t="shared" si="39"/>
        <v>1.2346459128607969</v>
      </c>
      <c r="E406" s="30">
        <f t="shared" si="41"/>
        <v>61.720649999999814</v>
      </c>
      <c r="F406" s="30">
        <f t="shared" si="37"/>
        <v>47.026056402020885</v>
      </c>
    </row>
    <row r="407" spans="1:6">
      <c r="A407" s="30">
        <f t="shared" si="40"/>
        <v>1.2377875055143868</v>
      </c>
      <c r="B407">
        <f t="shared" si="36"/>
        <v>0.58302443167372076</v>
      </c>
      <c r="C407" s="30">
        <f t="shared" si="38"/>
        <v>0.58302443167372076</v>
      </c>
      <c r="D407" s="30">
        <f t="shared" si="39"/>
        <v>1.2377875055143868</v>
      </c>
      <c r="E407" s="30">
        <f t="shared" si="41"/>
        <v>61.877699999999813</v>
      </c>
      <c r="F407" s="30">
        <f t="shared" si="37"/>
        <v>47.024140317426621</v>
      </c>
    </row>
    <row r="408" spans="1:6">
      <c r="A408" s="30">
        <f t="shared" si="40"/>
        <v>1.2409290981679766</v>
      </c>
      <c r="B408">
        <f t="shared" si="36"/>
        <v>0.57429155038181445</v>
      </c>
      <c r="C408" s="30">
        <f t="shared" si="38"/>
        <v>0.57429155038181445</v>
      </c>
      <c r="D408" s="30">
        <f t="shared" si="39"/>
        <v>1.2409290981679766</v>
      </c>
      <c r="E408" s="30">
        <f t="shared" si="41"/>
        <v>62.034749999999811</v>
      </c>
      <c r="F408" s="30">
        <f t="shared" si="37"/>
        <v>47.022240305143846</v>
      </c>
    </row>
    <row r="409" spans="1:6">
      <c r="A409" s="30">
        <f t="shared" si="40"/>
        <v>1.2440706908215664</v>
      </c>
      <c r="B409">
        <f t="shared" si="36"/>
        <v>0.56567349452623761</v>
      </c>
      <c r="C409" s="30">
        <f t="shared" si="38"/>
        <v>0.56567349452623761</v>
      </c>
      <c r="D409" s="30">
        <f t="shared" si="39"/>
        <v>1.2440706908215664</v>
      </c>
      <c r="E409" s="30">
        <f t="shared" si="41"/>
        <v>62.191799999999809</v>
      </c>
      <c r="F409" s="30">
        <f t="shared" si="37"/>
        <v>47.020356440181814</v>
      </c>
    </row>
    <row r="410" spans="1:6">
      <c r="A410" s="30">
        <f t="shared" si="40"/>
        <v>1.2472122834751562</v>
      </c>
      <c r="B410">
        <f t="shared" si="36"/>
        <v>0.55716784740496972</v>
      </c>
      <c r="C410" s="30">
        <f t="shared" si="38"/>
        <v>0.55716784740496972</v>
      </c>
      <c r="D410" s="30">
        <f t="shared" si="39"/>
        <v>1.2472122834751562</v>
      </c>
      <c r="E410" s="30">
        <f t="shared" si="41"/>
        <v>62.348849999999807</v>
      </c>
      <c r="F410" s="30">
        <f t="shared" si="37"/>
        <v>47.018488796912273</v>
      </c>
    </row>
    <row r="411" spans="1:6">
      <c r="A411" s="30">
        <f t="shared" si="40"/>
        <v>1.250353876128746</v>
      </c>
      <c r="B411">
        <f t="shared" si="36"/>
        <v>0.54877225933240759</v>
      </c>
      <c r="C411" s="30">
        <f t="shared" si="38"/>
        <v>0.54877225933240759</v>
      </c>
      <c r="D411" s="30">
        <f t="shared" si="39"/>
        <v>1.250353876128746</v>
      </c>
      <c r="E411" s="30">
        <f t="shared" si="41"/>
        <v>62.505899999999805</v>
      </c>
      <c r="F411" s="30">
        <f t="shared" si="37"/>
        <v>47.016637449066579</v>
      </c>
    </row>
    <row r="412" spans="1:6">
      <c r="A412" s="30">
        <f t="shared" si="40"/>
        <v>1.2534954687823359</v>
      </c>
      <c r="B412">
        <f t="shared" si="36"/>
        <v>0.54048444532946194</v>
      </c>
      <c r="C412" s="30">
        <f t="shared" si="38"/>
        <v>0.54048444532946194</v>
      </c>
      <c r="D412" s="30">
        <f t="shared" si="39"/>
        <v>1.2534954687823359</v>
      </c>
      <c r="E412" s="30">
        <f t="shared" si="41"/>
        <v>62.662949999999803</v>
      </c>
      <c r="F412" s="30">
        <f t="shared" si="37"/>
        <v>47.014802469732786</v>
      </c>
    </row>
    <row r="413" spans="1:6">
      <c r="A413" s="30">
        <f t="shared" si="40"/>
        <v>1.2566370614359257</v>
      </c>
      <c r="B413">
        <f t="shared" si="36"/>
        <v>0.53230218290852194</v>
      </c>
      <c r="C413" s="30">
        <f t="shared" si="38"/>
        <v>0.53230218290852194</v>
      </c>
      <c r="D413" s="30">
        <f t="shared" si="39"/>
        <v>1.2566370614359257</v>
      </c>
      <c r="E413" s="30">
        <f t="shared" si="41"/>
        <v>62.819999999999801</v>
      </c>
      <c r="F413" s="30">
        <f t="shared" si="37"/>
        <v>47.012983931352736</v>
      </c>
    </row>
    <row r="414" spans="1:6">
      <c r="A414" s="30">
        <f t="shared" si="40"/>
        <v>1.2597786540895155</v>
      </c>
      <c r="B414">
        <f t="shared" si="36"/>
        <v>0.52422330994878474</v>
      </c>
      <c r="C414" s="30">
        <f t="shared" si="38"/>
        <v>0.52422330994878474</v>
      </c>
      <c r="D414" s="30">
        <f t="shared" si="39"/>
        <v>1.2597786540895155</v>
      </c>
      <c r="E414" s="30">
        <f t="shared" si="41"/>
        <v>62.977049999999799</v>
      </c>
      <c r="F414" s="30">
        <f t="shared" si="37"/>
        <v>47.011181905719198</v>
      </c>
    </row>
    <row r="415" spans="1:6">
      <c r="A415" s="30">
        <f t="shared" si="40"/>
        <v>1.2629202467431053</v>
      </c>
      <c r="B415">
        <f t="shared" si="36"/>
        <v>0.51624572265766977</v>
      </c>
      <c r="C415" s="30">
        <f t="shared" si="38"/>
        <v>0.51624572265766977</v>
      </c>
      <c r="D415" s="30">
        <f t="shared" si="39"/>
        <v>1.2629202467431053</v>
      </c>
      <c r="E415" s="30">
        <f t="shared" si="41"/>
        <v>63.134099999999798</v>
      </c>
      <c r="F415" s="30">
        <f t="shared" si="37"/>
        <v>47.009396463973069</v>
      </c>
    </row>
    <row r="416" spans="1:6">
      <c r="A416" s="30">
        <f t="shared" si="40"/>
        <v>1.2660618393966951</v>
      </c>
      <c r="B416">
        <f t="shared" si="36"/>
        <v>0.50836737361427087</v>
      </c>
      <c r="C416" s="30">
        <f t="shared" si="38"/>
        <v>0.50836737361427087</v>
      </c>
      <c r="D416" s="30">
        <f t="shared" si="39"/>
        <v>1.2660618393966951</v>
      </c>
      <c r="E416" s="30">
        <f t="shared" si="41"/>
        <v>63.291149999999796</v>
      </c>
      <c r="F416" s="30">
        <f t="shared" si="37"/>
        <v>47.007627676600528</v>
      </c>
    </row>
    <row r="417" spans="1:6">
      <c r="A417" s="30">
        <f t="shared" si="40"/>
        <v>1.269203432050285</v>
      </c>
      <c r="B417">
        <f t="shared" si="36"/>
        <v>0.5005862698910255</v>
      </c>
      <c r="C417" s="30">
        <f t="shared" si="38"/>
        <v>0.5005862698910255</v>
      </c>
      <c r="D417" s="30">
        <f t="shared" si="39"/>
        <v>1.269203432050285</v>
      </c>
      <c r="E417" s="30">
        <f t="shared" si="41"/>
        <v>63.448199999999794</v>
      </c>
      <c r="F417" s="30">
        <f t="shared" si="37"/>
        <v>47.005875613430277</v>
      </c>
    </row>
    <row r="418" spans="1:6">
      <c r="A418" s="30">
        <f t="shared" si="40"/>
        <v>1.2723450247038748</v>
      </c>
      <c r="B418">
        <f t="shared" si="36"/>
        <v>0.4929004712499836</v>
      </c>
      <c r="C418" s="30">
        <f t="shared" si="38"/>
        <v>0.4929004712499836</v>
      </c>
      <c r="D418" s="30">
        <f t="shared" si="39"/>
        <v>1.2723450247038748</v>
      </c>
      <c r="E418" s="30">
        <f t="shared" si="41"/>
        <v>63.605249999999792</v>
      </c>
      <c r="F418" s="30">
        <f t="shared" si="37"/>
        <v>47.004140343630766</v>
      </c>
    </row>
    <row r="419" spans="1:6">
      <c r="A419" s="30">
        <f t="shared" si="40"/>
        <v>1.2754866173574646</v>
      </c>
      <c r="B419">
        <f t="shared" si="36"/>
        <v>0.48530808841023421</v>
      </c>
      <c r="C419" s="30">
        <f t="shared" si="38"/>
        <v>0.48530808841023421</v>
      </c>
      <c r="D419" s="30">
        <f t="shared" si="39"/>
        <v>1.2754866173574646</v>
      </c>
      <c r="E419" s="30">
        <f t="shared" si="41"/>
        <v>63.76229999999979</v>
      </c>
      <c r="F419" s="30">
        <f t="shared" si="37"/>
        <v>47.002421935707474</v>
      </c>
    </row>
    <row r="420" spans="1:6">
      <c r="A420" s="30">
        <f t="shared" si="40"/>
        <v>1.2786282100110544</v>
      </c>
      <c r="B420">
        <f t="shared" si="36"/>
        <v>0.47780728138323225</v>
      </c>
      <c r="C420" s="30">
        <f t="shared" si="38"/>
        <v>0.47780728138323225</v>
      </c>
      <c r="D420" s="30">
        <f t="shared" si="39"/>
        <v>1.2786282100110544</v>
      </c>
      <c r="E420" s="30">
        <f t="shared" si="41"/>
        <v>63.919349999999788</v>
      </c>
      <c r="F420" s="30">
        <f t="shared" si="37"/>
        <v>47.000720457500201</v>
      </c>
    </row>
    <row r="421" spans="1:6">
      <c r="A421" s="30">
        <f t="shared" si="40"/>
        <v>1.2817698026646442</v>
      </c>
      <c r="B421">
        <f t="shared" si="36"/>
        <v>0.47039625787294659</v>
      </c>
      <c r="C421" s="30">
        <f t="shared" si="38"/>
        <v>0.47039625787294659</v>
      </c>
      <c r="D421" s="30">
        <f t="shared" si="39"/>
        <v>1.2817698026646442</v>
      </c>
      <c r="E421" s="30">
        <f t="shared" si="41"/>
        <v>64.076399999999794</v>
      </c>
      <c r="F421" s="30">
        <f t="shared" si="37"/>
        <v>46.999035976180402</v>
      </c>
    </row>
    <row r="422" spans="1:6">
      <c r="A422" s="30">
        <f t="shared" si="40"/>
        <v>1.2849113953182341</v>
      </c>
      <c r="B422">
        <f t="shared" si="36"/>
        <v>0.46307327173791091</v>
      </c>
      <c r="C422" s="30">
        <f t="shared" si="38"/>
        <v>0.46307327173791091</v>
      </c>
      <c r="D422" s="30">
        <f t="shared" si="39"/>
        <v>1.2849113953182341</v>
      </c>
      <c r="E422" s="30">
        <f t="shared" si="41"/>
        <v>64.233449999999792</v>
      </c>
      <c r="F422" s="30">
        <f t="shared" si="37"/>
        <v>46.997368558248503</v>
      </c>
    </row>
    <row r="423" spans="1:6">
      <c r="A423" s="30">
        <f t="shared" si="40"/>
        <v>1.2880529879718239</v>
      </c>
      <c r="B423">
        <f t="shared" si="36"/>
        <v>0.45583662151238669</v>
      </c>
      <c r="C423" s="30">
        <f t="shared" si="38"/>
        <v>0.45583662151238669</v>
      </c>
      <c r="D423" s="30">
        <f t="shared" si="39"/>
        <v>1.2880529879718239</v>
      </c>
      <c r="E423" s="30">
        <f t="shared" si="41"/>
        <v>64.39049999999979</v>
      </c>
      <c r="F423" s="30">
        <f t="shared" si="37"/>
        <v>46.995718269531324</v>
      </c>
    </row>
    <row r="424" spans="1:6">
      <c r="A424" s="30">
        <f t="shared" si="40"/>
        <v>1.2911945806254137</v>
      </c>
      <c r="B424">
        <f t="shared" si="36"/>
        <v>0.44868464898400828</v>
      </c>
      <c r="C424" s="30">
        <f t="shared" si="38"/>
        <v>0.44868464898400828</v>
      </c>
      <c r="D424" s="30">
        <f t="shared" si="39"/>
        <v>1.2911945806254137</v>
      </c>
      <c r="E424" s="30">
        <f t="shared" si="41"/>
        <v>64.547549999999788</v>
      </c>
      <c r="F424" s="30">
        <f t="shared" si="37"/>
        <v>46.994085175179428</v>
      </c>
    </row>
    <row r="425" spans="1:6">
      <c r="A425" s="30">
        <f t="shared" si="40"/>
        <v>1.2943361732790035</v>
      </c>
      <c r="B425">
        <f t="shared" si="36"/>
        <v>0.44161573782541741</v>
      </c>
      <c r="C425" s="30">
        <f t="shared" si="38"/>
        <v>0.44161573782541741</v>
      </c>
      <c r="D425" s="30">
        <f t="shared" si="39"/>
        <v>1.2943361732790035</v>
      </c>
      <c r="E425" s="30">
        <f t="shared" si="41"/>
        <v>64.704599999999786</v>
      </c>
      <c r="F425" s="30">
        <f t="shared" si="37"/>
        <v>46.992469339664581</v>
      </c>
    </row>
    <row r="426" spans="1:6">
      <c r="A426" s="30">
        <f t="shared" si="40"/>
        <v>1.2974777659325933</v>
      </c>
      <c r="B426">
        <f t="shared" si="36"/>
        <v>0.43462831227749921</v>
      </c>
      <c r="C426" s="30">
        <f t="shared" si="38"/>
        <v>0.43462831227749921</v>
      </c>
      <c r="D426" s="30">
        <f t="shared" si="39"/>
        <v>1.2974777659325933</v>
      </c>
      <c r="E426" s="30">
        <f t="shared" si="41"/>
        <v>64.861649999999784</v>
      </c>
      <c r="F426" s="30">
        <f t="shared" si="37"/>
        <v>46.990870826777211</v>
      </c>
    </row>
    <row r="427" spans="1:6">
      <c r="A427" s="30">
        <f t="shared" si="40"/>
        <v>1.3006193585861832</v>
      </c>
      <c r="B427">
        <f t="shared" si="36"/>
        <v>0.4277208358819764</v>
      </c>
      <c r="C427" s="30">
        <f t="shared" si="38"/>
        <v>0.4277208358819764</v>
      </c>
      <c r="D427" s="30">
        <f t="shared" si="39"/>
        <v>1.3006193585861832</v>
      </c>
      <c r="E427" s="30">
        <f t="shared" si="41"/>
        <v>65.018699999999782</v>
      </c>
      <c r="F427" s="30">
        <f t="shared" si="37"/>
        <v>46.989289699623868</v>
      </c>
    </row>
    <row r="428" spans="1:6">
      <c r="A428" s="30">
        <f t="shared" si="40"/>
        <v>1.303760951239773</v>
      </c>
      <c r="B428">
        <f t="shared" si="36"/>
        <v>0.42089181026120337</v>
      </c>
      <c r="C428" s="30">
        <f t="shared" si="38"/>
        <v>0.42089181026120337</v>
      </c>
      <c r="D428" s="30">
        <f t="shared" si="39"/>
        <v>1.303760951239773</v>
      </c>
      <c r="E428" s="30">
        <f t="shared" si="41"/>
        <v>65.17574999999978</v>
      </c>
      <c r="F428" s="30">
        <f t="shared" si="37"/>
        <v>46.987726020624741</v>
      </c>
    </row>
    <row r="429" spans="1:6">
      <c r="A429" s="30">
        <f t="shared" si="40"/>
        <v>1.3069025438933628</v>
      </c>
      <c r="B429">
        <f t="shared" si="36"/>
        <v>0.41413977394312651</v>
      </c>
      <c r="C429" s="30">
        <f t="shared" si="38"/>
        <v>0.41413977394312651</v>
      </c>
      <c r="D429" s="30">
        <f t="shared" si="39"/>
        <v>1.3069025438933628</v>
      </c>
      <c r="E429" s="30">
        <f t="shared" si="41"/>
        <v>65.332799999999779</v>
      </c>
      <c r="F429" s="30">
        <f t="shared" si="37"/>
        <v>46.986179851511196</v>
      </c>
    </row>
    <row r="430" spans="1:6">
      <c r="A430" s="30">
        <f t="shared" si="40"/>
        <v>1.3100441365469526</v>
      </c>
      <c r="B430">
        <f t="shared" si="36"/>
        <v>0.40746330122948049</v>
      </c>
      <c r="C430" s="30">
        <f t="shared" si="38"/>
        <v>0.40746330122948049</v>
      </c>
      <c r="D430" s="30">
        <f t="shared" si="39"/>
        <v>1.3100441365469526</v>
      </c>
      <c r="E430" s="30">
        <f t="shared" si="41"/>
        <v>65.489849999999777</v>
      </c>
      <c r="F430" s="30">
        <f t="shared" si="37"/>
        <v>46.984651253323356</v>
      </c>
    </row>
    <row r="431" spans="1:6">
      <c r="A431" s="30">
        <f t="shared" si="40"/>
        <v>1.3131857292005424</v>
      </c>
      <c r="B431">
        <f t="shared" si="36"/>
        <v>0.4008610011053656</v>
      </c>
      <c r="C431" s="30">
        <f t="shared" si="38"/>
        <v>0.4008610011053656</v>
      </c>
      <c r="D431" s="30">
        <f t="shared" si="39"/>
        <v>1.3131857292005424</v>
      </c>
      <c r="E431" s="30">
        <f t="shared" si="41"/>
        <v>65.646899999999775</v>
      </c>
      <c r="F431" s="30">
        <f t="shared" si="37"/>
        <v>46.98314028640764</v>
      </c>
    </row>
    <row r="432" spans="1:6">
      <c r="A432" s="30">
        <f t="shared" si="40"/>
        <v>1.3163273218541323</v>
      </c>
      <c r="B432">
        <f t="shared" si="36"/>
        <v>0.39433151618845219</v>
      </c>
      <c r="C432" s="30">
        <f t="shared" si="38"/>
        <v>0.39433151618845219</v>
      </c>
      <c r="D432" s="30">
        <f t="shared" si="39"/>
        <v>1.3163273218541323</v>
      </c>
      <c r="E432" s="30">
        <f t="shared" si="41"/>
        <v>65.803949999999773</v>
      </c>
      <c r="F432" s="30">
        <f t="shared" si="37"/>
        <v>46.981647010414456</v>
      </c>
    </row>
    <row r="433" spans="1:6">
      <c r="A433" s="30">
        <f t="shared" si="40"/>
        <v>1.3194689145077221</v>
      </c>
      <c r="B433">
        <f t="shared" si="36"/>
        <v>0.38787352171614553</v>
      </c>
      <c r="C433" s="30">
        <f t="shared" si="38"/>
        <v>0.38787352171614553</v>
      </c>
      <c r="D433" s="30">
        <f t="shared" si="39"/>
        <v>1.3194689145077221</v>
      </c>
      <c r="E433" s="30">
        <f t="shared" si="41"/>
        <v>65.960999999999771</v>
      </c>
      <c r="F433" s="30">
        <f t="shared" si="37"/>
        <v>46.980171484295767</v>
      </c>
    </row>
    <row r="434" spans="1:6">
      <c r="A434" s="30">
        <f t="shared" si="40"/>
        <v>1.3226105071613119</v>
      </c>
      <c r="B434">
        <f t="shared" si="36"/>
        <v>0.381485724569122</v>
      </c>
      <c r="C434" s="30">
        <f t="shared" si="38"/>
        <v>0.381485724569122</v>
      </c>
      <c r="D434" s="30">
        <f t="shared" si="39"/>
        <v>1.3226105071613119</v>
      </c>
      <c r="E434" s="30">
        <f t="shared" si="41"/>
        <v>66.118049999999769</v>
      </c>
      <c r="F434" s="30">
        <f t="shared" si="37"/>
        <v>46.978713766302825</v>
      </c>
    </row>
    <row r="435" spans="1:6">
      <c r="A435" s="30">
        <f t="shared" si="40"/>
        <v>1.3257520998149017</v>
      </c>
      <c r="B435">
        <f t="shared" si="36"/>
        <v>0.37516686232971963</v>
      </c>
      <c r="C435" s="30">
        <f t="shared" si="38"/>
        <v>0.37516686232971963</v>
      </c>
      <c r="D435" s="30">
        <f t="shared" si="39"/>
        <v>1.3257520998149017</v>
      </c>
      <c r="E435" s="30">
        <f t="shared" si="41"/>
        <v>66.275099999999767</v>
      </c>
      <c r="F435" s="30">
        <f t="shared" si="37"/>
        <v>46.977273913983836</v>
      </c>
    </row>
    <row r="436" spans="1:6">
      <c r="A436" s="30">
        <f t="shared" si="40"/>
        <v>1.3288936924684915</v>
      </c>
      <c r="B436">
        <f t="shared" si="36"/>
        <v>0.36891570237373617</v>
      </c>
      <c r="C436" s="30">
        <f t="shared" si="38"/>
        <v>0.36891570237373617</v>
      </c>
      <c r="D436" s="30">
        <f t="shared" si="39"/>
        <v>1.3288936924684915</v>
      </c>
      <c r="E436" s="30">
        <f t="shared" si="41"/>
        <v>66.432149999999766</v>
      </c>
      <c r="F436" s="30">
        <f t="shared" si="37"/>
        <v>46.975851984181709</v>
      </c>
    </row>
    <row r="437" spans="1:6">
      <c r="A437" s="30">
        <f t="shared" si="40"/>
        <v>1.3320352851220814</v>
      </c>
      <c r="B437">
        <f t="shared" si="36"/>
        <v>0.36273104099426412</v>
      </c>
      <c r="C437" s="30">
        <f t="shared" si="38"/>
        <v>0.36273104099426412</v>
      </c>
      <c r="D437" s="30">
        <f t="shared" si="39"/>
        <v>1.3320352851220814</v>
      </c>
      <c r="E437" s="30">
        <f t="shared" si="41"/>
        <v>66.589199999999764</v>
      </c>
      <c r="F437" s="30">
        <f t="shared" si="37"/>
        <v>46.974448033031798</v>
      </c>
    </row>
    <row r="438" spans="1:6">
      <c r="A438" s="30">
        <f t="shared" si="40"/>
        <v>1.3351768777756712</v>
      </c>
      <c r="B438">
        <f t="shared" si="36"/>
        <v>0.35661170255625452</v>
      </c>
      <c r="C438" s="30">
        <f t="shared" si="38"/>
        <v>0.35661170255625452</v>
      </c>
      <c r="D438" s="30">
        <f t="shared" si="39"/>
        <v>1.3351768777756712</v>
      </c>
      <c r="E438" s="30">
        <f t="shared" si="41"/>
        <v>66.746249999999762</v>
      </c>
      <c r="F438" s="30">
        <f t="shared" si="37"/>
        <v>46.973062115959692</v>
      </c>
    </row>
    <row r="439" spans="1:6">
      <c r="A439" s="30">
        <f t="shared" si="40"/>
        <v>1.338318470429261</v>
      </c>
      <c r="B439">
        <f t="shared" si="36"/>
        <v>0.35055653868055625</v>
      </c>
      <c r="C439" s="30">
        <f t="shared" si="38"/>
        <v>0.35055653868055625</v>
      </c>
      <c r="D439" s="30">
        <f t="shared" si="39"/>
        <v>1.338318470429261</v>
      </c>
      <c r="E439" s="30">
        <f t="shared" si="41"/>
        <v>66.90329999999976</v>
      </c>
      <c r="F439" s="30">
        <f t="shared" si="37"/>
        <v>46.971694287679014</v>
      </c>
    </row>
    <row r="440" spans="1:6">
      <c r="A440" s="30">
        <f t="shared" si="40"/>
        <v>1.3414600630828508</v>
      </c>
      <c r="B440">
        <f t="shared" si="36"/>
        <v>0.34456442745623139</v>
      </c>
      <c r="C440" s="30">
        <f t="shared" si="38"/>
        <v>0.34456442745623139</v>
      </c>
      <c r="D440" s="30">
        <f t="shared" si="39"/>
        <v>1.3414600630828508</v>
      </c>
      <c r="E440" s="30">
        <f t="shared" si="41"/>
        <v>67.060349999999758</v>
      </c>
      <c r="F440" s="30">
        <f t="shared" si="37"/>
        <v>46.970344602189293</v>
      </c>
    </row>
    <row r="441" spans="1:6">
      <c r="A441" s="30">
        <f t="shared" si="40"/>
        <v>1.3446016557364406</v>
      </c>
      <c r="B441">
        <f t="shared" si="36"/>
        <v>0.33863427268002566</v>
      </c>
      <c r="C441" s="30">
        <f t="shared" si="38"/>
        <v>0.33863427268002566</v>
      </c>
      <c r="D441" s="30">
        <f t="shared" si="39"/>
        <v>1.3446016557364406</v>
      </c>
      <c r="E441" s="30">
        <f t="shared" si="41"/>
        <v>67.217399999999756</v>
      </c>
      <c r="F441" s="30">
        <f t="shared" si="37"/>
        <v>46.969013112773794</v>
      </c>
    </row>
    <row r="442" spans="1:6">
      <c r="A442" s="30">
        <f t="shared" si="40"/>
        <v>1.3477432483900305</v>
      </c>
      <c r="B442">
        <f t="shared" si="36"/>
        <v>0.33276500312189217</v>
      </c>
      <c r="C442" s="30">
        <f t="shared" si="38"/>
        <v>0.33276500312189217</v>
      </c>
      <c r="D442" s="30">
        <f t="shared" si="39"/>
        <v>1.3477432483900305</v>
      </c>
      <c r="E442" s="30">
        <f t="shared" si="41"/>
        <v>67.374449999999754</v>
      </c>
      <c r="F442" s="30">
        <f t="shared" si="37"/>
        <v>46.967699871997439</v>
      </c>
    </row>
    <row r="443" spans="1:6">
      <c r="A443" s="30">
        <f t="shared" si="40"/>
        <v>1.3508848410436203</v>
      </c>
      <c r="B443">
        <f t="shared" si="36"/>
        <v>0.3269555718155478</v>
      </c>
      <c r="C443" s="30">
        <f t="shared" si="38"/>
        <v>0.3269555718155478</v>
      </c>
      <c r="D443" s="30">
        <f t="shared" si="39"/>
        <v>1.3508848410436203</v>
      </c>
      <c r="E443" s="30">
        <f t="shared" si="41"/>
        <v>67.531499999999753</v>
      </c>
      <c r="F443" s="30">
        <f t="shared" si="37"/>
        <v>46.966404931704737</v>
      </c>
    </row>
    <row r="444" spans="1:6">
      <c r="A444" s="30">
        <f t="shared" si="40"/>
        <v>1.3540264336972101</v>
      </c>
      <c r="B444">
        <f t="shared" si="36"/>
        <v>0.32120495537305715</v>
      </c>
      <c r="C444" s="30">
        <f t="shared" si="38"/>
        <v>0.32120495537305715</v>
      </c>
      <c r="D444" s="30">
        <f t="shared" si="39"/>
        <v>1.3540264336972101</v>
      </c>
      <c r="E444" s="30">
        <f t="shared" si="41"/>
        <v>67.688549999999751</v>
      </c>
      <c r="F444" s="30">
        <f t="shared" si="37"/>
        <v>46.965128343017696</v>
      </c>
    </row>
    <row r="445" spans="1:6">
      <c r="A445" s="30">
        <f t="shared" si="40"/>
        <v>1.3571680263507999</v>
      </c>
      <c r="B445">
        <f t="shared" si="36"/>
        <v>0.31551215332250937</v>
      </c>
      <c r="C445" s="30">
        <f t="shared" si="38"/>
        <v>0.31551215332250937</v>
      </c>
      <c r="D445" s="30">
        <f t="shared" si="39"/>
        <v>1.3571680263507999</v>
      </c>
      <c r="E445" s="30">
        <f t="shared" si="41"/>
        <v>67.845599999999749</v>
      </c>
      <c r="F445" s="30">
        <f t="shared" si="37"/>
        <v>46.963870156333869</v>
      </c>
    </row>
    <row r="446" spans="1:6">
      <c r="A446" s="30">
        <f t="shared" si="40"/>
        <v>1.3603096190043897</v>
      </c>
      <c r="B446">
        <f t="shared" si="36"/>
        <v>0.30987618746788537</v>
      </c>
      <c r="C446" s="30">
        <f t="shared" si="38"/>
        <v>0.30987618746788537</v>
      </c>
      <c r="D446" s="30">
        <f t="shared" si="39"/>
        <v>1.3603096190043897</v>
      </c>
      <c r="E446" s="30">
        <f t="shared" si="41"/>
        <v>68.002649999999747</v>
      </c>
      <c r="F446" s="30">
        <f t="shared" si="37"/>
        <v>46.962630421324292</v>
      </c>
    </row>
    <row r="447" spans="1:6">
      <c r="A447" s="30">
        <f t="shared" si="40"/>
        <v>1.3634512116579796</v>
      </c>
      <c r="B447">
        <f t="shared" si="36"/>
        <v>0.30429610127025009</v>
      </c>
      <c r="C447" s="30">
        <f t="shared" si="38"/>
        <v>0.30429610127025009</v>
      </c>
      <c r="D447" s="30">
        <f t="shared" si="39"/>
        <v>1.3634512116579796</v>
      </c>
      <c r="E447" s="30">
        <f t="shared" si="41"/>
        <v>68.159699999999745</v>
      </c>
      <c r="F447" s="30">
        <f t="shared" si="37"/>
        <v>46.961409186931604</v>
      </c>
    </row>
    <row r="448" spans="1:6">
      <c r="A448" s="30">
        <f t="shared" si="40"/>
        <v>1.3665928043115694</v>
      </c>
      <c r="B448">
        <f t="shared" si="36"/>
        <v>0.29877095924944319</v>
      </c>
      <c r="C448" s="30">
        <f t="shared" si="38"/>
        <v>0.29877095924944319</v>
      </c>
      <c r="D448" s="30">
        <f t="shared" si="39"/>
        <v>1.3665928043115694</v>
      </c>
      <c r="E448" s="30">
        <f t="shared" si="41"/>
        <v>68.316749999999743</v>
      </c>
      <c r="F448" s="30">
        <f t="shared" si="37"/>
        <v>46.960206501368027</v>
      </c>
    </row>
    <row r="449" spans="1:6">
      <c r="A449" s="30">
        <f t="shared" si="40"/>
        <v>1.3697343969651592</v>
      </c>
      <c r="B449">
        <f t="shared" si="36"/>
        <v>0.29329984640548246</v>
      </c>
      <c r="C449" s="30">
        <f t="shared" si="38"/>
        <v>0.29329984640548246</v>
      </c>
      <c r="D449" s="30">
        <f t="shared" si="39"/>
        <v>1.3697343969651592</v>
      </c>
      <c r="E449" s="30">
        <f t="shared" si="41"/>
        <v>68.473799999999741</v>
      </c>
      <c r="F449" s="30">
        <f t="shared" si="37"/>
        <v>46.959022412113541</v>
      </c>
    </row>
    <row r="450" spans="1:6">
      <c r="A450" s="30">
        <f t="shared" si="40"/>
        <v>1.372875989618749</v>
      </c>
      <c r="B450">
        <f t="shared" si="36"/>
        <v>0.28788186765893053</v>
      </c>
      <c r="C450" s="30">
        <f t="shared" si="38"/>
        <v>0.28788186765893053</v>
      </c>
      <c r="D450" s="30">
        <f t="shared" si="39"/>
        <v>1.372875989618749</v>
      </c>
      <c r="E450" s="30">
        <f t="shared" si="41"/>
        <v>68.630849999999739</v>
      </c>
      <c r="F450" s="30">
        <f t="shared" si="37"/>
        <v>46.957856965913955</v>
      </c>
    </row>
    <row r="451" spans="1:6">
      <c r="A451" s="30">
        <f t="shared" si="40"/>
        <v>1.3760175822723388</v>
      </c>
      <c r="B451">
        <f t="shared" si="36"/>
        <v>0.28251614730949781</v>
      </c>
      <c r="C451" s="30">
        <f t="shared" si="38"/>
        <v>0.28251614730949781</v>
      </c>
      <c r="D451" s="30">
        <f t="shared" si="39"/>
        <v>1.3760175822723388</v>
      </c>
      <c r="E451" s="30">
        <f t="shared" si="41"/>
        <v>68.787899999999738</v>
      </c>
      <c r="F451" s="30">
        <f t="shared" si="37"/>
        <v>46.956710208779093</v>
      </c>
    </row>
    <row r="452" spans="1:6">
      <c r="A452" s="30">
        <f t="shared" si="40"/>
        <v>1.3791591749259287</v>
      </c>
      <c r="B452">
        <f t="shared" si="36"/>
        <v>0.27720182851219188</v>
      </c>
      <c r="C452" s="30">
        <f t="shared" si="38"/>
        <v>0.27720182851219188</v>
      </c>
      <c r="D452" s="30">
        <f t="shared" si="39"/>
        <v>1.3791591749259287</v>
      </c>
      <c r="E452" s="30">
        <f t="shared" si="41"/>
        <v>68.944949999999736</v>
      </c>
      <c r="F452" s="30">
        <f t="shared" si="37"/>
        <v>46.955582185980958</v>
      </c>
    </row>
    <row r="453" spans="1:6">
      <c r="A453" s="30">
        <f t="shared" si="40"/>
        <v>1.3823007675795185</v>
      </c>
      <c r="B453">
        <f t="shared" si="36"/>
        <v>0.27193807277035542</v>
      </c>
      <c r="C453" s="30">
        <f t="shared" si="38"/>
        <v>0.27193807277035542</v>
      </c>
      <c r="D453" s="30">
        <f t="shared" si="39"/>
        <v>1.3823007675795185</v>
      </c>
      <c r="E453" s="30">
        <f t="shared" si="41"/>
        <v>69.101999999999734</v>
      </c>
      <c r="F453" s="30">
        <f t="shared" si="37"/>
        <v>46.954472942051964</v>
      </c>
    </row>
    <row r="454" spans="1:6">
      <c r="A454" s="30">
        <f t="shared" si="40"/>
        <v>1.3854423602331083</v>
      </c>
      <c r="B454">
        <f t="shared" si="36"/>
        <v>0.2667240594449628</v>
      </c>
      <c r="C454" s="30">
        <f t="shared" si="38"/>
        <v>0.2667240594449628</v>
      </c>
      <c r="D454" s="30">
        <f t="shared" si="39"/>
        <v>1.3854423602331083</v>
      </c>
      <c r="E454" s="30">
        <f t="shared" si="41"/>
        <v>69.259049999999732</v>
      </c>
      <c r="F454" s="30">
        <f t="shared" si="37"/>
        <v>46.953382520783165</v>
      </c>
    </row>
    <row r="455" spans="1:6">
      <c r="A455" s="30">
        <f t="shared" si="40"/>
        <v>1.3885839528866981</v>
      </c>
      <c r="B455">
        <f t="shared" si="36"/>
        <v>0.26155898527956845</v>
      </c>
      <c r="C455" s="30">
        <f t="shared" si="38"/>
        <v>0.26155898527956845</v>
      </c>
      <c r="D455" s="30">
        <f t="shared" si="39"/>
        <v>1.3885839528866981</v>
      </c>
      <c r="E455" s="30">
        <f t="shared" si="41"/>
        <v>69.41609999999973</v>
      </c>
      <c r="F455" s="30">
        <f t="shared" si="37"/>
        <v>46.952310965222516</v>
      </c>
    </row>
    <row r="456" spans="1:6">
      <c r="A456" s="30">
        <f t="shared" si="40"/>
        <v>1.3917255455402879</v>
      </c>
      <c r="B456">
        <f t="shared" si="36"/>
        <v>0.25644206394032287</v>
      </c>
      <c r="C456" s="30">
        <f t="shared" si="38"/>
        <v>0.25644206394032287</v>
      </c>
      <c r="D456" s="30">
        <f t="shared" si="39"/>
        <v>1.3917255455402879</v>
      </c>
      <c r="E456" s="30">
        <f t="shared" si="41"/>
        <v>69.573149999999728</v>
      </c>
      <c r="F456" s="30">
        <f t="shared" si="37"/>
        <v>46.951258317673201</v>
      </c>
    </row>
    <row r="457" spans="1:6">
      <c r="A457" s="30">
        <f t="shared" si="40"/>
        <v>1.3948671381938778</v>
      </c>
      <c r="B457">
        <f t="shared" si="36"/>
        <v>0.25137252557050727</v>
      </c>
      <c r="C457" s="30">
        <f t="shared" si="38"/>
        <v>0.25137252557050727</v>
      </c>
      <c r="D457" s="30">
        <f t="shared" si="39"/>
        <v>1.3948671381938778</v>
      </c>
      <c r="E457" s="30">
        <f t="shared" si="41"/>
        <v>69.730199999999726</v>
      </c>
      <c r="F457" s="30">
        <f t="shared" si="37"/>
        <v>46.950224619691944</v>
      </c>
    </row>
    <row r="458" spans="1:6">
      <c r="A458" s="30">
        <f t="shared" si="40"/>
        <v>1.3980087308474676</v>
      </c>
      <c r="B458">
        <f t="shared" si="36"/>
        <v>0.24634961635905483</v>
      </c>
      <c r="C458" s="30">
        <f t="shared" si="38"/>
        <v>0.24634961635905483</v>
      </c>
      <c r="D458" s="30">
        <f t="shared" si="39"/>
        <v>1.3980087308474676</v>
      </c>
      <c r="E458" s="30">
        <f t="shared" si="41"/>
        <v>69.887249999999725</v>
      </c>
      <c r="F458" s="30">
        <f t="shared" si="37"/>
        <v>46.949209912087369</v>
      </c>
    </row>
    <row r="459" spans="1:6">
      <c r="A459" s="30">
        <f t="shared" si="40"/>
        <v>1.4011503235010574</v>
      </c>
      <c r="B459">
        <f t="shared" si="36"/>
        <v>0.24137259812254708</v>
      </c>
      <c r="C459" s="30">
        <f t="shared" si="38"/>
        <v>0.24137259812254708</v>
      </c>
      <c r="D459" s="30">
        <f t="shared" si="39"/>
        <v>1.4011503235010574</v>
      </c>
      <c r="E459" s="30">
        <f t="shared" si="41"/>
        <v>70.044299999999723</v>
      </c>
      <c r="F459" s="30">
        <f t="shared" si="37"/>
        <v>46.948214234918403</v>
      </c>
    </row>
    <row r="460" spans="1:6">
      <c r="A460" s="30">
        <f t="shared" si="40"/>
        <v>1.4042919161546472</v>
      </c>
      <c r="B460">
        <f t="shared" si="36"/>
        <v>0.23644074790019454</v>
      </c>
      <c r="C460" s="30">
        <f t="shared" si="38"/>
        <v>0.23644074790019454</v>
      </c>
      <c r="D460" s="30">
        <f t="shared" si="39"/>
        <v>1.4042919161546472</v>
      </c>
      <c r="E460" s="30">
        <f t="shared" si="41"/>
        <v>70.201349999999721</v>
      </c>
      <c r="F460" s="30">
        <f t="shared" si="37"/>
        <v>46.947237627492662</v>
      </c>
    </row>
    <row r="461" spans="1:6">
      <c r="A461" s="30">
        <f t="shared" si="40"/>
        <v>1.407433508808237</v>
      </c>
      <c r="B461">
        <f t="shared" ref="B461:B524" si="42">$H$3*(SIN($H$4+A461)-SIN($H$5+A461))/(SIN($H$4+A461)-SIN(A461))-$H$6</f>
        <v>0.23155335756133499</v>
      </c>
      <c r="C461" s="30">
        <f t="shared" si="38"/>
        <v>0.23155335756133499</v>
      </c>
      <c r="D461" s="30">
        <f t="shared" si="39"/>
        <v>1.407433508808237</v>
      </c>
      <c r="E461" s="30">
        <f t="shared" si="41"/>
        <v>70.358399999999719</v>
      </c>
      <c r="F461" s="30">
        <f t="shared" ref="F461:F524" si="43">$M$5*SIN(2*PI()/$B$7*E461+$M$4)+$M$6</f>
        <v>46.94628012836494</v>
      </c>
    </row>
    <row r="462" spans="1:6">
      <c r="A462" s="30">
        <f t="shared" si="40"/>
        <v>1.4105751014618269</v>
      </c>
      <c r="B462">
        <f t="shared" si="42"/>
        <v>0.22670973342500567</v>
      </c>
      <c r="C462" s="30">
        <f t="shared" ref="C462:C525" si="44">ABS(B462)</f>
        <v>0.22670973342500567</v>
      </c>
      <c r="D462" s="30">
        <f t="shared" ref="D462:D525" si="45">A462</f>
        <v>1.4105751014618269</v>
      </c>
      <c r="E462" s="30">
        <f t="shared" si="41"/>
        <v>70.515449999999717</v>
      </c>
      <c r="F462" s="30">
        <f t="shared" si="43"/>
        <v>46.945341775335663</v>
      </c>
    </row>
    <row r="463" spans="1:6">
      <c r="A463" s="30">
        <f t="shared" ref="A463:A526" si="46">A462+PI()/1000</f>
        <v>1.4137166941154167</v>
      </c>
      <c r="B463">
        <f t="shared" si="42"/>
        <v>0.22190919589115043</v>
      </c>
      <c r="C463" s="30">
        <f t="shared" si="44"/>
        <v>0.22190919589115043</v>
      </c>
      <c r="D463" s="30">
        <f t="shared" si="45"/>
        <v>1.4137166941154167</v>
      </c>
      <c r="E463" s="30">
        <f t="shared" ref="E463:E526" si="47">E462+$B$7/1000</f>
        <v>70.672499999999715</v>
      </c>
      <c r="F463" s="30">
        <f t="shared" si="43"/>
        <v>46.944422605449411</v>
      </c>
    </row>
    <row r="464" spans="1:6">
      <c r="A464" s="30">
        <f t="shared" si="46"/>
        <v>1.4168582867690065</v>
      </c>
      <c r="B464">
        <f t="shared" si="42"/>
        <v>0.2171510790830512</v>
      </c>
      <c r="C464" s="30">
        <f t="shared" si="44"/>
        <v>0.2171510790830512</v>
      </c>
      <c r="D464" s="30">
        <f t="shared" si="45"/>
        <v>1.4168582867690065</v>
      </c>
      <c r="E464" s="30">
        <f t="shared" si="47"/>
        <v>70.829549999999713</v>
      </c>
      <c r="F464" s="30">
        <f t="shared" si="43"/>
        <v>46.943522654993423</v>
      </c>
    </row>
    <row r="465" spans="1:6">
      <c r="A465" s="30">
        <f t="shared" si="46"/>
        <v>1.4199998794225963</v>
      </c>
      <c r="B465">
        <f t="shared" si="42"/>
        <v>0.21243473050058725</v>
      </c>
      <c r="C465" s="30">
        <f t="shared" si="44"/>
        <v>0.21243473050058725</v>
      </c>
      <c r="D465" s="30">
        <f t="shared" si="45"/>
        <v>1.4199998794225963</v>
      </c>
      <c r="E465" s="30">
        <f t="shared" si="47"/>
        <v>70.986599999999711</v>
      </c>
      <c r="F465" s="30">
        <f t="shared" si="43"/>
        <v>46.942641959496214</v>
      </c>
    </row>
    <row r="466" spans="1:6">
      <c r="A466" s="30">
        <f t="shared" si="46"/>
        <v>1.4231414720761861</v>
      </c>
      <c r="B466">
        <f t="shared" si="42"/>
        <v>0.2077595106839436</v>
      </c>
      <c r="C466" s="30">
        <f t="shared" si="44"/>
        <v>0.2077595106839436</v>
      </c>
      <c r="D466" s="30">
        <f t="shared" si="45"/>
        <v>1.4231414720761861</v>
      </c>
      <c r="E466" s="30">
        <f t="shared" si="47"/>
        <v>71.14364999999971</v>
      </c>
      <c r="F466" s="30">
        <f t="shared" si="43"/>
        <v>46.941780553726126</v>
      </c>
    </row>
    <row r="467" spans="1:6">
      <c r="A467" s="30">
        <f t="shared" si="46"/>
        <v>1.426283064729776</v>
      </c>
      <c r="B467">
        <f t="shared" si="42"/>
        <v>0.20312479288740248</v>
      </c>
      <c r="C467" s="30">
        <f t="shared" si="44"/>
        <v>0.20312479288740248</v>
      </c>
      <c r="D467" s="30">
        <f t="shared" si="45"/>
        <v>1.426283064729776</v>
      </c>
      <c r="E467" s="30">
        <f t="shared" si="47"/>
        <v>71.300699999999708</v>
      </c>
      <c r="F467" s="30">
        <f t="shared" si="43"/>
        <v>46.940938471689982</v>
      </c>
    </row>
    <row r="468" spans="1:6">
      <c r="A468" s="30">
        <f t="shared" si="46"/>
        <v>1.4294246573833658</v>
      </c>
      <c r="B468">
        <f t="shared" si="42"/>
        <v>0.19852996276286106</v>
      </c>
      <c r="C468" s="30">
        <f t="shared" si="44"/>
        <v>0.19852996276286106</v>
      </c>
      <c r="D468" s="30">
        <f t="shared" si="45"/>
        <v>1.4294246573833658</v>
      </c>
      <c r="E468" s="30">
        <f t="shared" si="47"/>
        <v>71.457749999999706</v>
      </c>
      <c r="F468" s="30">
        <f t="shared" si="43"/>
        <v>46.940115746631754</v>
      </c>
    </row>
    <row r="469" spans="1:6">
      <c r="A469" s="30">
        <f t="shared" si="46"/>
        <v>1.4325662500369556</v>
      </c>
      <c r="B469">
        <f t="shared" si="42"/>
        <v>0.19397441805274485</v>
      </c>
      <c r="C469" s="30">
        <f t="shared" si="44"/>
        <v>0.19397441805274485</v>
      </c>
      <c r="D469" s="30">
        <f t="shared" si="45"/>
        <v>1.4325662500369556</v>
      </c>
      <c r="E469" s="30">
        <f t="shared" si="47"/>
        <v>71.614799999999704</v>
      </c>
      <c r="F469" s="30">
        <f t="shared" si="43"/>
        <v>46.939312411031203</v>
      </c>
    </row>
    <row r="470" spans="1:6">
      <c r="A470" s="30">
        <f t="shared" si="46"/>
        <v>1.4357078426905454</v>
      </c>
      <c r="B470">
        <f t="shared" si="42"/>
        <v>0.18945756829199401</v>
      </c>
      <c r="C470" s="30">
        <f t="shared" si="44"/>
        <v>0.18945756829199401</v>
      </c>
      <c r="D470" s="30">
        <f t="shared" si="45"/>
        <v>1.4357078426905454</v>
      </c>
      <c r="E470" s="30">
        <f t="shared" si="47"/>
        <v>71.771849999999702</v>
      </c>
      <c r="F470" s="30">
        <f t="shared" si="43"/>
        <v>46.938528496602643</v>
      </c>
    </row>
    <row r="471" spans="1:6">
      <c r="A471" s="30">
        <f t="shared" si="46"/>
        <v>1.4388494353441352</v>
      </c>
      <c r="B471">
        <f t="shared" si="42"/>
        <v>0.18497883451880504</v>
      </c>
      <c r="C471" s="30">
        <f t="shared" si="44"/>
        <v>0.18497883451880504</v>
      </c>
      <c r="D471" s="30">
        <f t="shared" si="45"/>
        <v>1.4388494353441352</v>
      </c>
      <c r="E471" s="30">
        <f t="shared" si="47"/>
        <v>71.9288999999997</v>
      </c>
      <c r="F471" s="30">
        <f t="shared" si="43"/>
        <v>46.937764034293686</v>
      </c>
    </row>
    <row r="472" spans="1:6">
      <c r="A472" s="30">
        <f t="shared" si="46"/>
        <v>1.4419910279977251</v>
      </c>
      <c r="B472">
        <f t="shared" si="42"/>
        <v>0.18053764899383284</v>
      </c>
      <c r="C472" s="30">
        <f t="shared" si="44"/>
        <v>0.18053764899383284</v>
      </c>
      <c r="D472" s="30">
        <f t="shared" si="45"/>
        <v>1.4419910279977251</v>
      </c>
      <c r="E472" s="30">
        <f t="shared" si="47"/>
        <v>72.085949999999698</v>
      </c>
      <c r="F472" s="30">
        <f t="shared" si="43"/>
        <v>46.937019054283986</v>
      </c>
    </row>
    <row r="473" spans="1:6">
      <c r="A473" s="30">
        <f t="shared" si="46"/>
        <v>1.4451326206513149</v>
      </c>
      <c r="B473">
        <f t="shared" si="42"/>
        <v>0.17613345492756483</v>
      </c>
      <c r="C473" s="30">
        <f t="shared" si="44"/>
        <v>0.17613345492756483</v>
      </c>
      <c r="D473" s="30">
        <f t="shared" si="45"/>
        <v>1.4451326206513149</v>
      </c>
      <c r="E473" s="30">
        <f t="shared" si="47"/>
        <v>72.242999999999697</v>
      </c>
      <c r="F473" s="30">
        <f t="shared" si="43"/>
        <v>46.936293585984075</v>
      </c>
    </row>
    <row r="474" spans="1:6">
      <c r="A474" s="30">
        <f t="shared" si="46"/>
        <v>1.4482742133049047</v>
      </c>
      <c r="B474">
        <f t="shared" si="42"/>
        <v>0.17176570621559284</v>
      </c>
      <c r="C474" s="30">
        <f t="shared" si="44"/>
        <v>0.17176570621559284</v>
      </c>
      <c r="D474" s="30">
        <f t="shared" si="45"/>
        <v>1.4482742133049047</v>
      </c>
      <c r="E474" s="30">
        <f t="shared" si="47"/>
        <v>72.400049999999695</v>
      </c>
      <c r="F474" s="30">
        <f t="shared" si="43"/>
        <v>46.935587658034208</v>
      </c>
    </row>
    <row r="475" spans="1:6">
      <c r="A475" s="30">
        <f t="shared" si="46"/>
        <v>1.4514158059584945</v>
      </c>
      <c r="B475">
        <f t="shared" si="42"/>
        <v>0.16743386718151543</v>
      </c>
      <c r="C475" s="30">
        <f t="shared" si="44"/>
        <v>0.16743386718151543</v>
      </c>
      <c r="D475" s="30">
        <f t="shared" si="45"/>
        <v>1.4514158059584945</v>
      </c>
      <c r="E475" s="30">
        <f t="shared" si="47"/>
        <v>72.557099999999693</v>
      </c>
      <c r="F475" s="30">
        <f t="shared" si="43"/>
        <v>46.93490129830321</v>
      </c>
    </row>
    <row r="476" spans="1:6">
      <c r="A476" s="30">
        <f t="shared" si="46"/>
        <v>1.4545573986120843</v>
      </c>
      <c r="B476">
        <f t="shared" si="42"/>
        <v>0.16313741232721357</v>
      </c>
      <c r="C476" s="30">
        <f t="shared" si="44"/>
        <v>0.16313741232721357</v>
      </c>
      <c r="D476" s="30">
        <f t="shared" si="45"/>
        <v>1.4545573986120843</v>
      </c>
      <c r="E476" s="30">
        <f t="shared" si="47"/>
        <v>72.714149999999691</v>
      </c>
      <c r="F476" s="30">
        <f t="shared" si="43"/>
        <v>46.934234533887384</v>
      </c>
    </row>
    <row r="477" spans="1:6">
      <c r="A477" s="30">
        <f t="shared" si="46"/>
        <v>1.4576989912656741</v>
      </c>
      <c r="B477">
        <f t="shared" si="42"/>
        <v>0.15887582609025508</v>
      </c>
      <c r="C477" s="30">
        <f t="shared" si="44"/>
        <v>0.15887582609025508</v>
      </c>
      <c r="D477" s="30">
        <f t="shared" si="45"/>
        <v>1.4576989912656741</v>
      </c>
      <c r="E477" s="30">
        <f t="shared" si="47"/>
        <v>72.871199999999689</v>
      </c>
      <c r="F477" s="30">
        <f t="shared" si="43"/>
        <v>46.933587391109448</v>
      </c>
    </row>
    <row r="478" spans="1:6">
      <c r="A478" s="30">
        <f t="shared" si="46"/>
        <v>1.460840583919264</v>
      </c>
      <c r="B478">
        <f t="shared" si="42"/>
        <v>0.15464860260819302</v>
      </c>
      <c r="C478" s="30">
        <f t="shared" si="44"/>
        <v>0.15464860260819302</v>
      </c>
      <c r="D478" s="30">
        <f t="shared" si="45"/>
        <v>1.460840583919264</v>
      </c>
      <c r="E478" s="30">
        <f t="shared" si="47"/>
        <v>73.028249999999687</v>
      </c>
      <c r="F478" s="30">
        <f t="shared" si="43"/>
        <v>46.932959895517492</v>
      </c>
    </row>
    <row r="479" spans="1:6">
      <c r="A479" s="30">
        <f t="shared" si="46"/>
        <v>1.4639821765728538</v>
      </c>
      <c r="B479">
        <f t="shared" si="42"/>
        <v>0.15045524548953382</v>
      </c>
      <c r="C479" s="30">
        <f t="shared" si="44"/>
        <v>0.15045524548953382</v>
      </c>
      <c r="D479" s="30">
        <f t="shared" si="45"/>
        <v>1.4639821765728538</v>
      </c>
      <c r="E479" s="30">
        <f t="shared" si="47"/>
        <v>73.185299999999685</v>
      </c>
      <c r="F479" s="30">
        <f t="shared" si="43"/>
        <v>46.932352071883969</v>
      </c>
    </row>
    <row r="480" spans="1:6">
      <c r="A480" s="30">
        <f t="shared" si="46"/>
        <v>1.4671237692264436</v>
      </c>
      <c r="B480">
        <f t="shared" si="42"/>
        <v>0.14629526759114164</v>
      </c>
      <c r="C480" s="30">
        <f t="shared" si="44"/>
        <v>0.14629526759114164</v>
      </c>
      <c r="D480" s="30">
        <f t="shared" si="45"/>
        <v>1.4671237692264436</v>
      </c>
      <c r="E480" s="30">
        <f t="shared" si="47"/>
        <v>73.342349999999684</v>
      </c>
      <c r="F480" s="30">
        <f t="shared" si="43"/>
        <v>46.931763944204711</v>
      </c>
    </row>
    <row r="481" spans="1:6">
      <c r="A481" s="30">
        <f t="shared" si="46"/>
        <v>1.4702653618800334</v>
      </c>
      <c r="B481">
        <f t="shared" si="42"/>
        <v>0.14216819080188658</v>
      </c>
      <c r="C481" s="30">
        <f t="shared" si="44"/>
        <v>0.14216819080188658</v>
      </c>
      <c r="D481" s="30">
        <f t="shared" si="45"/>
        <v>1.4702653618800334</v>
      </c>
      <c r="E481" s="30">
        <f t="shared" si="47"/>
        <v>73.499399999999682</v>
      </c>
      <c r="F481" s="30">
        <f t="shared" si="43"/>
        <v>46.931195535697995</v>
      </c>
    </row>
    <row r="482" spans="1:6">
      <c r="A482" s="30">
        <f t="shared" si="46"/>
        <v>1.4734069545336232</v>
      </c>
      <c r="B482">
        <f t="shared" si="42"/>
        <v>0.1380735458323209</v>
      </c>
      <c r="C482" s="30">
        <f t="shared" si="44"/>
        <v>0.1380735458323209</v>
      </c>
      <c r="D482" s="30">
        <f t="shared" si="45"/>
        <v>1.4734069545336232</v>
      </c>
      <c r="E482" s="30">
        <f t="shared" si="47"/>
        <v>73.65644999999968</v>
      </c>
      <c r="F482" s="30">
        <f t="shared" si="43"/>
        <v>46.930646868803613</v>
      </c>
    </row>
    <row r="483" spans="1:6">
      <c r="A483" s="30">
        <f t="shared" si="46"/>
        <v>1.4765485471872131</v>
      </c>
      <c r="B483">
        <f t="shared" si="42"/>
        <v>0.13401087201019746</v>
      </c>
      <c r="C483" s="30">
        <f t="shared" si="44"/>
        <v>0.13401087201019746</v>
      </c>
      <c r="D483" s="30">
        <f t="shared" si="45"/>
        <v>1.4765485471872131</v>
      </c>
      <c r="E483" s="30">
        <f t="shared" si="47"/>
        <v>73.813499999999678</v>
      </c>
      <c r="F483" s="30">
        <f t="shared" si="43"/>
        <v>46.930117965181999</v>
      </c>
    </row>
    <row r="484" spans="1:6">
      <c r="A484" s="30">
        <f t="shared" si="46"/>
        <v>1.4796901398408029</v>
      </c>
      <c r="B484">
        <f t="shared" si="42"/>
        <v>0.12997971708163003</v>
      </c>
      <c r="C484" s="30">
        <f t="shared" si="44"/>
        <v>0.12997971708163003</v>
      </c>
      <c r="D484" s="30">
        <f t="shared" si="45"/>
        <v>1.4796901398408029</v>
      </c>
      <c r="E484" s="30">
        <f t="shared" si="47"/>
        <v>73.970549999999676</v>
      </c>
      <c r="F484" s="30">
        <f t="shared" si="43"/>
        <v>46.929608845713361</v>
      </c>
    </row>
    <row r="485" spans="1:6">
      <c r="A485" s="30">
        <f t="shared" si="46"/>
        <v>1.4828317324943927</v>
      </c>
      <c r="B485">
        <f t="shared" si="42"/>
        <v>0.12597963701772541</v>
      </c>
      <c r="C485" s="30">
        <f t="shared" si="44"/>
        <v>0.12597963701772541</v>
      </c>
      <c r="D485" s="30">
        <f t="shared" si="45"/>
        <v>1.4828317324943927</v>
      </c>
      <c r="E485" s="30">
        <f t="shared" si="47"/>
        <v>74.127599999999674</v>
      </c>
      <c r="F485" s="30">
        <f t="shared" si="43"/>
        <v>46.929119530496862</v>
      </c>
    </row>
    <row r="486" spans="1:6">
      <c r="A486" s="30">
        <f t="shared" si="46"/>
        <v>1.4859733251479825</v>
      </c>
      <c r="B486">
        <f t="shared" si="42"/>
        <v>0.1220101958265073</v>
      </c>
      <c r="C486" s="30">
        <f t="shared" si="44"/>
        <v>0.1220101958265073</v>
      </c>
      <c r="D486" s="30">
        <f t="shared" si="45"/>
        <v>1.4859733251479825</v>
      </c>
      <c r="E486" s="30">
        <f t="shared" si="47"/>
        <v>74.284649999999672</v>
      </c>
      <c r="F486" s="30">
        <f t="shared" si="43"/>
        <v>46.928650038849831</v>
      </c>
    </row>
    <row r="487" spans="1:6">
      <c r="A487" s="30">
        <f t="shared" si="46"/>
        <v>1.4891149178015723</v>
      </c>
      <c r="B487">
        <f t="shared" si="42"/>
        <v>0.11807096536996653</v>
      </c>
      <c r="C487" s="30">
        <f t="shared" si="44"/>
        <v>0.11807096536996653</v>
      </c>
      <c r="D487" s="30">
        <f t="shared" si="45"/>
        <v>1.4891149178015723</v>
      </c>
      <c r="E487" s="30">
        <f t="shared" si="47"/>
        <v>74.44169999999967</v>
      </c>
      <c r="F487" s="30">
        <f t="shared" si="43"/>
        <v>46.928200389306994</v>
      </c>
    </row>
    <row r="488" spans="1:6">
      <c r="A488" s="30">
        <f t="shared" si="46"/>
        <v>1.4922565104551622</v>
      </c>
      <c r="B488">
        <f t="shared" si="42"/>
        <v>0.11416152518606903</v>
      </c>
      <c r="C488" s="30">
        <f t="shared" si="44"/>
        <v>0.11416152518606903</v>
      </c>
      <c r="D488" s="30">
        <f t="shared" si="45"/>
        <v>1.4922565104551622</v>
      </c>
      <c r="E488" s="30">
        <f t="shared" si="47"/>
        <v>74.598749999999669</v>
      </c>
      <c r="F488" s="30">
        <f t="shared" si="43"/>
        <v>46.927770599619741</v>
      </c>
    </row>
    <row r="489" spans="1:6">
      <c r="A489" s="30">
        <f t="shared" si="46"/>
        <v>1.495398103108752</v>
      </c>
      <c r="B489">
        <f t="shared" si="42"/>
        <v>0.11028146231557268</v>
      </c>
      <c r="C489" s="30">
        <f t="shared" si="44"/>
        <v>0.11028146231557268</v>
      </c>
      <c r="D489" s="30">
        <f t="shared" si="45"/>
        <v>1.495398103108752</v>
      </c>
      <c r="E489" s="30">
        <f t="shared" si="47"/>
        <v>74.755799999999667</v>
      </c>
      <c r="F489" s="30">
        <f t="shared" si="43"/>
        <v>46.927360686755435</v>
      </c>
    </row>
    <row r="490" spans="1:6">
      <c r="A490" s="30">
        <f t="shared" si="46"/>
        <v>1.4985396957623418</v>
      </c>
      <c r="B490">
        <f t="shared" si="42"/>
        <v>0.10643037113349818</v>
      </c>
      <c r="C490" s="30">
        <f t="shared" si="44"/>
        <v>0.10643037113349818</v>
      </c>
      <c r="D490" s="30">
        <f t="shared" si="45"/>
        <v>1.4985396957623418</v>
      </c>
      <c r="E490" s="30">
        <f t="shared" si="47"/>
        <v>74.912849999999665</v>
      </c>
      <c r="F490" s="30">
        <f t="shared" si="43"/>
        <v>46.926970666896736</v>
      </c>
    </row>
    <row r="491" spans="1:6">
      <c r="A491" s="30">
        <f t="shared" si="46"/>
        <v>1.5016812884159316</v>
      </c>
      <c r="B491">
        <f t="shared" si="42"/>
        <v>0.10260785318511045</v>
      </c>
      <c r="C491" s="30">
        <f t="shared" si="44"/>
        <v>0.10260785318511045</v>
      </c>
      <c r="D491" s="30">
        <f t="shared" si="45"/>
        <v>1.5016812884159316</v>
      </c>
      <c r="E491" s="30">
        <f t="shared" si="47"/>
        <v>75.069899999999663</v>
      </c>
      <c r="F491" s="30">
        <f t="shared" si="43"/>
        <v>46.926600555440963</v>
      </c>
    </row>
    <row r="492" spans="1:6">
      <c r="A492" s="30">
        <f t="shared" si="46"/>
        <v>1.5048228810695214</v>
      </c>
      <c r="B492">
        <f t="shared" si="42"/>
        <v>9.8813517026267617E-2</v>
      </c>
      <c r="C492" s="30">
        <f t="shared" si="44"/>
        <v>9.8813517026267617E-2</v>
      </c>
      <c r="D492" s="30">
        <f t="shared" si="45"/>
        <v>1.5048228810695214</v>
      </c>
      <c r="E492" s="30">
        <f t="shared" si="47"/>
        <v>75.226949999999661</v>
      </c>
      <c r="F492" s="30">
        <f t="shared" si="43"/>
        <v>46.926250366999476</v>
      </c>
    </row>
    <row r="493" spans="1:6">
      <c r="A493" s="30">
        <f t="shared" si="46"/>
        <v>1.5079644737231113</v>
      </c>
      <c r="B493">
        <f t="shared" si="42"/>
        <v>9.5046978068002441E-2</v>
      </c>
      <c r="C493" s="30">
        <f t="shared" si="44"/>
        <v>9.5046978068002441E-2</v>
      </c>
      <c r="D493" s="30">
        <f t="shared" si="45"/>
        <v>1.5079644737231113</v>
      </c>
      <c r="E493" s="30">
        <f t="shared" si="47"/>
        <v>75.383999999999659</v>
      </c>
      <c r="F493" s="30">
        <f t="shared" si="43"/>
        <v>46.925920115397119</v>
      </c>
    </row>
    <row r="494" spans="1:6">
      <c r="A494" s="30">
        <f t="shared" si="46"/>
        <v>1.5111060663767011</v>
      </c>
      <c r="B494">
        <f t="shared" si="42"/>
        <v>9.1307858425210942E-2</v>
      </c>
      <c r="C494" s="30">
        <f t="shared" si="44"/>
        <v>9.1307858425210942E-2</v>
      </c>
      <c r="D494" s="30">
        <f t="shared" si="45"/>
        <v>1.5111060663767011</v>
      </c>
      <c r="E494" s="30">
        <f t="shared" si="47"/>
        <v>75.541049999999657</v>
      </c>
      <c r="F494" s="30">
        <f t="shared" si="43"/>
        <v>46.925609813671656</v>
      </c>
    </row>
    <row r="495" spans="1:6">
      <c r="A495" s="30">
        <f t="shared" si="46"/>
        <v>1.5142476590302909</v>
      </c>
      <c r="B495">
        <f t="shared" si="42"/>
        <v>8.7595786769316564E-2</v>
      </c>
      <c r="C495" s="30">
        <f t="shared" si="44"/>
        <v>8.7595786769316564E-2</v>
      </c>
      <c r="D495" s="30">
        <f t="shared" si="45"/>
        <v>1.5142476590302909</v>
      </c>
      <c r="E495" s="30">
        <f t="shared" si="47"/>
        <v>75.698099999999656</v>
      </c>
      <c r="F495" s="30">
        <f t="shared" si="43"/>
        <v>46.92531947407327</v>
      </c>
    </row>
    <row r="496" spans="1:6">
      <c r="A496" s="30">
        <f t="shared" si="46"/>
        <v>1.5173892516838807</v>
      </c>
      <c r="B496">
        <f t="shared" si="42"/>
        <v>8.3910398184789181E-2</v>
      </c>
      <c r="C496" s="30">
        <f t="shared" si="44"/>
        <v>8.3910398184789181E-2</v>
      </c>
      <c r="D496" s="30">
        <f t="shared" si="45"/>
        <v>1.5173892516838807</v>
      </c>
      <c r="E496" s="30">
        <f t="shared" si="47"/>
        <v>75.855149999999654</v>
      </c>
      <c r="F496" s="30">
        <f t="shared" si="43"/>
        <v>46.925049108064073</v>
      </c>
    </row>
    <row r="497" spans="1:6">
      <c r="A497" s="30">
        <f t="shared" si="46"/>
        <v>1.5205308443374705</v>
      </c>
      <c r="B497">
        <f t="shared" si="42"/>
        <v>8.025133402940221E-2</v>
      </c>
      <c r="C497" s="30">
        <f t="shared" si="44"/>
        <v>8.025133402940221E-2</v>
      </c>
      <c r="D497" s="30">
        <f t="shared" si="45"/>
        <v>1.5205308443374705</v>
      </c>
      <c r="E497" s="30">
        <f t="shared" si="47"/>
        <v>76.012199999999652</v>
      </c>
      <c r="F497" s="30">
        <f t="shared" si="43"/>
        <v>46.924798726317647</v>
      </c>
    </row>
    <row r="498" spans="1:6">
      <c r="A498" s="30">
        <f t="shared" si="46"/>
        <v>1.5236724369910604</v>
      </c>
      <c r="B498">
        <f t="shared" si="42"/>
        <v>7.6618241798116715E-2</v>
      </c>
      <c r="C498" s="30">
        <f t="shared" si="44"/>
        <v>7.6618241798116715E-2</v>
      </c>
      <c r="D498" s="30">
        <f t="shared" si="45"/>
        <v>1.5236724369910604</v>
      </c>
      <c r="E498" s="30">
        <f t="shared" si="47"/>
        <v>76.16924999999965</v>
      </c>
      <c r="F498" s="30">
        <f t="shared" si="43"/>
        <v>46.924568338718643</v>
      </c>
    </row>
    <row r="499" spans="1:6">
      <c r="A499" s="30">
        <f t="shared" si="46"/>
        <v>1.5268140296446502</v>
      </c>
      <c r="B499">
        <f t="shared" si="42"/>
        <v>7.3010774990481808E-2</v>
      </c>
      <c r="C499" s="30">
        <f t="shared" si="44"/>
        <v>7.3010774990481808E-2</v>
      </c>
      <c r="D499" s="30">
        <f t="shared" si="45"/>
        <v>1.5268140296446502</v>
      </c>
      <c r="E499" s="30">
        <f t="shared" si="47"/>
        <v>76.326299999999648</v>
      </c>
      <c r="F499" s="30">
        <f t="shared" si="43"/>
        <v>46.924357954362364</v>
      </c>
    </row>
    <row r="500" spans="1:6">
      <c r="A500" s="30">
        <f t="shared" si="46"/>
        <v>1.52995562229824</v>
      </c>
      <c r="B500">
        <f t="shared" si="42"/>
        <v>6.942859298144255E-2</v>
      </c>
      <c r="C500" s="30">
        <f t="shared" si="44"/>
        <v>6.942859298144255E-2</v>
      </c>
      <c r="D500" s="30">
        <f t="shared" si="45"/>
        <v>1.52995562229824</v>
      </c>
      <c r="E500" s="30">
        <f t="shared" si="47"/>
        <v>76.483349999999646</v>
      </c>
      <c r="F500" s="30">
        <f t="shared" si="43"/>
        <v>46.924167581554428</v>
      </c>
    </row>
    <row r="501" spans="1:6">
      <c r="A501" s="30">
        <f t="shared" si="46"/>
        <v>1.5330972149518298</v>
      </c>
      <c r="B501">
        <f t="shared" si="42"/>
        <v>6.5871360895456754E-2</v>
      </c>
      <c r="C501" s="30">
        <f t="shared" si="44"/>
        <v>6.5871360895456754E-2</v>
      </c>
      <c r="D501" s="30">
        <f t="shared" si="45"/>
        <v>1.5330972149518298</v>
      </c>
      <c r="E501" s="30">
        <f t="shared" si="47"/>
        <v>76.640399999999644</v>
      </c>
      <c r="F501" s="30">
        <f t="shared" si="43"/>
        <v>46.923997227810418</v>
      </c>
    </row>
    <row r="502" spans="1:6">
      <c r="A502" s="30">
        <f t="shared" si="46"/>
        <v>1.5362388076054196</v>
      </c>
      <c r="B502">
        <f t="shared" si="42"/>
        <v>6.2338749483822897E-2</v>
      </c>
      <c r="C502" s="30">
        <f t="shared" si="44"/>
        <v>6.2338749483822897E-2</v>
      </c>
      <c r="D502" s="30">
        <f t="shared" si="45"/>
        <v>1.5362388076054196</v>
      </c>
      <c r="E502" s="30">
        <f t="shared" si="47"/>
        <v>76.797449999999643</v>
      </c>
      <c r="F502" s="30">
        <f t="shared" si="43"/>
        <v>46.923846899855612</v>
      </c>
    </row>
    <row r="503" spans="1:6">
      <c r="A503" s="30">
        <f t="shared" si="46"/>
        <v>1.5393804002590095</v>
      </c>
      <c r="B503">
        <f t="shared" si="42"/>
        <v>5.8830435005122306E-2</v>
      </c>
      <c r="C503" s="30">
        <f t="shared" si="44"/>
        <v>5.8830435005122306E-2</v>
      </c>
      <c r="D503" s="30">
        <f t="shared" si="45"/>
        <v>1.5393804002590095</v>
      </c>
      <c r="E503" s="30">
        <f t="shared" si="47"/>
        <v>76.954499999999641</v>
      </c>
      <c r="F503" s="30">
        <f t="shared" si="43"/>
        <v>46.923716603624705</v>
      </c>
    </row>
    <row r="504" spans="1:6">
      <c r="A504" s="30">
        <f t="shared" si="46"/>
        <v>1.5425219929125993</v>
      </c>
      <c r="B504">
        <f t="shared" si="42"/>
        <v>5.53460991086826E-2</v>
      </c>
      <c r="C504" s="30">
        <f t="shared" si="44"/>
        <v>5.53460991086826E-2</v>
      </c>
      <c r="D504" s="30">
        <f t="shared" si="45"/>
        <v>1.5425219929125993</v>
      </c>
      <c r="E504" s="30">
        <f t="shared" si="47"/>
        <v>77.111549999999639</v>
      </c>
      <c r="F504" s="30">
        <f t="shared" si="43"/>
        <v>46.923606344261572</v>
      </c>
    </row>
    <row r="505" spans="1:6">
      <c r="A505" s="30">
        <f t="shared" si="46"/>
        <v>1.5456635855661891</v>
      </c>
      <c r="B505">
        <f t="shared" si="42"/>
        <v>5.1885428720973792E-2</v>
      </c>
      <c r="C505" s="30">
        <f t="shared" si="44"/>
        <v>5.1885428720973792E-2</v>
      </c>
      <c r="D505" s="30">
        <f t="shared" si="45"/>
        <v>1.5456635855661891</v>
      </c>
      <c r="E505" s="30">
        <f t="shared" si="47"/>
        <v>77.268599999999637</v>
      </c>
      <c r="F505" s="30">
        <f t="shared" si="43"/>
        <v>46.923516126119047</v>
      </c>
    </row>
    <row r="506" spans="1:6">
      <c r="A506" s="30">
        <f t="shared" si="46"/>
        <v>1.5488051782197789</v>
      </c>
      <c r="B506">
        <f t="shared" si="42"/>
        <v>4.8448115934854652E-2</v>
      </c>
      <c r="C506" s="30">
        <f t="shared" si="44"/>
        <v>4.8448115934854652E-2</v>
      </c>
      <c r="D506" s="30">
        <f t="shared" si="45"/>
        <v>1.5488051782197789</v>
      </c>
      <c r="E506" s="30">
        <f t="shared" si="47"/>
        <v>77.425649999999635</v>
      </c>
      <c r="F506" s="30">
        <f t="shared" si="43"/>
        <v>46.923445952758804</v>
      </c>
    </row>
    <row r="507" spans="1:6">
      <c r="A507" s="30">
        <f t="shared" si="46"/>
        <v>1.5519467708733687</v>
      </c>
      <c r="B507">
        <f t="shared" si="42"/>
        <v>4.5033857901583874E-2</v>
      </c>
      <c r="C507" s="30">
        <f t="shared" si="44"/>
        <v>4.5033857901583874E-2</v>
      </c>
      <c r="D507" s="30">
        <f t="shared" si="45"/>
        <v>1.5519467708733687</v>
      </c>
      <c r="E507" s="30">
        <f t="shared" si="47"/>
        <v>77.582699999999633</v>
      </c>
      <c r="F507" s="30">
        <f t="shared" si="43"/>
        <v>46.923395826951165</v>
      </c>
    </row>
    <row r="508" spans="1:6">
      <c r="A508" s="30">
        <f t="shared" si="46"/>
        <v>1.5550883635269586</v>
      </c>
      <c r="B508">
        <f t="shared" si="42"/>
        <v>4.1642356725511975E-2</v>
      </c>
      <c r="C508" s="30">
        <f t="shared" si="44"/>
        <v>4.1642356725511975E-2</v>
      </c>
      <c r="D508" s="30">
        <f t="shared" si="45"/>
        <v>1.5550883635269586</v>
      </c>
      <c r="E508" s="30">
        <f t="shared" si="47"/>
        <v>77.739749999999631</v>
      </c>
      <c r="F508" s="30">
        <f t="shared" si="43"/>
        <v>46.923365750675011</v>
      </c>
    </row>
    <row r="509" spans="1:6">
      <c r="A509" s="30">
        <f t="shared" si="46"/>
        <v>1.5582299561805484</v>
      </c>
      <c r="B509">
        <f t="shared" si="42"/>
        <v>3.8273319361382008E-2</v>
      </c>
      <c r="C509" s="30">
        <f t="shared" si="44"/>
        <v>3.8273319361382008E-2</v>
      </c>
      <c r="D509" s="30">
        <f t="shared" si="45"/>
        <v>1.5582299561805484</v>
      </c>
      <c r="E509" s="30">
        <f t="shared" si="47"/>
        <v>77.896799999999629</v>
      </c>
      <c r="F509" s="30">
        <f t="shared" si="43"/>
        <v>46.923355725117688</v>
      </c>
    </row>
    <row r="510" spans="1:6">
      <c r="A510" s="30">
        <f t="shared" si="46"/>
        <v>1.5613715488341382</v>
      </c>
      <c r="B510">
        <f t="shared" si="42"/>
        <v>3.4926457514162235E-2</v>
      </c>
      <c r="C510" s="30">
        <f t="shared" si="44"/>
        <v>3.4926457514162235E-2</v>
      </c>
      <c r="D510" s="30">
        <f t="shared" si="45"/>
        <v>1.5613715488341382</v>
      </c>
      <c r="E510" s="30">
        <f t="shared" si="47"/>
        <v>78.053849999999628</v>
      </c>
      <c r="F510" s="30">
        <f t="shared" si="43"/>
        <v>46.923365750675011</v>
      </c>
    </row>
    <row r="511" spans="1:6">
      <c r="A511" s="30">
        <f t="shared" si="46"/>
        <v>1.564513141487728</v>
      </c>
      <c r="B511">
        <f t="shared" si="42"/>
        <v>3.1601487541338735E-2</v>
      </c>
      <c r="C511" s="30">
        <f t="shared" si="44"/>
        <v>3.1601487541338735E-2</v>
      </c>
      <c r="D511" s="30">
        <f t="shared" si="45"/>
        <v>1.564513141487728</v>
      </c>
      <c r="E511" s="30">
        <f t="shared" si="47"/>
        <v>78.210899999999626</v>
      </c>
      <c r="F511" s="30">
        <f t="shared" si="43"/>
        <v>46.923395826951165</v>
      </c>
    </row>
    <row r="512" spans="1:6">
      <c r="A512" s="30">
        <f t="shared" si="46"/>
        <v>1.5676547341413178</v>
      </c>
      <c r="B512">
        <f t="shared" si="42"/>
        <v>2.8298130357592877E-2</v>
      </c>
      <c r="C512" s="30">
        <f t="shared" si="44"/>
        <v>2.8298130357592877E-2</v>
      </c>
      <c r="D512" s="30">
        <f t="shared" si="45"/>
        <v>1.5676547341413178</v>
      </c>
      <c r="E512" s="30">
        <f t="shared" si="47"/>
        <v>78.367949999999624</v>
      </c>
      <c r="F512" s="30">
        <f t="shared" si="43"/>
        <v>46.923445952758804</v>
      </c>
    </row>
    <row r="513" spans="1:6">
      <c r="A513" s="30">
        <f t="shared" si="46"/>
        <v>1.5707963267949077</v>
      </c>
      <c r="B513">
        <f t="shared" si="42"/>
        <v>2.5016111341802594E-2</v>
      </c>
      <c r="C513" s="30">
        <f t="shared" si="44"/>
        <v>2.5016111341802594E-2</v>
      </c>
      <c r="D513" s="30">
        <f t="shared" si="45"/>
        <v>1.5707963267949077</v>
      </c>
      <c r="E513" s="30">
        <f t="shared" si="47"/>
        <v>78.524999999999622</v>
      </c>
      <c r="F513" s="30">
        <f t="shared" si="43"/>
        <v>46.923516126119047</v>
      </c>
    </row>
    <row r="514" spans="1:6">
      <c r="A514" s="30">
        <f t="shared" si="46"/>
        <v>1.5739379194484975</v>
      </c>
      <c r="B514">
        <f t="shared" si="42"/>
        <v>2.1755160246297534E-2</v>
      </c>
      <c r="C514" s="30">
        <f t="shared" si="44"/>
        <v>2.1755160246297534E-2</v>
      </c>
      <c r="D514" s="30">
        <f t="shared" si="45"/>
        <v>1.5739379194484975</v>
      </c>
      <c r="E514" s="30">
        <f t="shared" si="47"/>
        <v>78.68204999999962</v>
      </c>
      <c r="F514" s="30">
        <f t="shared" si="43"/>
        <v>46.923606344261572</v>
      </c>
    </row>
    <row r="515" spans="1:6">
      <c r="A515" s="30">
        <f t="shared" si="46"/>
        <v>1.5770795121020873</v>
      </c>
      <c r="B515">
        <f t="shared" si="42"/>
        <v>1.851501110830589E-2</v>
      </c>
      <c r="C515" s="30">
        <f t="shared" si="44"/>
        <v>1.851501110830589E-2</v>
      </c>
      <c r="D515" s="30">
        <f t="shared" si="45"/>
        <v>1.5770795121020873</v>
      </c>
      <c r="E515" s="30">
        <f t="shared" si="47"/>
        <v>78.839099999999618</v>
      </c>
      <c r="F515" s="30">
        <f t="shared" si="43"/>
        <v>46.923716603624705</v>
      </c>
    </row>
    <row r="516" spans="1:6">
      <c r="A516" s="30">
        <f t="shared" si="46"/>
        <v>1.5802211047556771</v>
      </c>
      <c r="B516">
        <f t="shared" si="42"/>
        <v>1.529540216353209E-2</v>
      </c>
      <c r="C516" s="30">
        <f t="shared" si="44"/>
        <v>1.529540216353209E-2</v>
      </c>
      <c r="D516" s="30">
        <f t="shared" si="45"/>
        <v>1.5802211047556771</v>
      </c>
      <c r="E516" s="30">
        <f t="shared" si="47"/>
        <v>78.996149999999616</v>
      </c>
      <c r="F516" s="30">
        <f t="shared" si="43"/>
        <v>46.923846899855612</v>
      </c>
    </row>
    <row r="517" spans="1:6">
      <c r="A517" s="30">
        <f t="shared" si="46"/>
        <v>1.5833626974092669</v>
      </c>
      <c r="B517">
        <f t="shared" si="42"/>
        <v>1.2096075761799163E-2</v>
      </c>
      <c r="C517" s="30">
        <f t="shared" si="44"/>
        <v>1.2096075761799163E-2</v>
      </c>
      <c r="D517" s="30">
        <f t="shared" si="45"/>
        <v>1.5833626974092669</v>
      </c>
      <c r="E517" s="30">
        <f t="shared" si="47"/>
        <v>79.153199999999615</v>
      </c>
      <c r="F517" s="30">
        <f t="shared" si="43"/>
        <v>46.923997227810418</v>
      </c>
    </row>
    <row r="518" spans="1:6">
      <c r="A518" s="30">
        <f t="shared" si="46"/>
        <v>1.5865042900628568</v>
      </c>
      <c r="B518">
        <f t="shared" si="42"/>
        <v>8.9167782847097143E-3</v>
      </c>
      <c r="C518" s="30">
        <f t="shared" si="44"/>
        <v>8.9167782847097143E-3</v>
      </c>
      <c r="D518" s="30">
        <f t="shared" si="45"/>
        <v>1.5865042900628568</v>
      </c>
      <c r="E518" s="30">
        <f t="shared" si="47"/>
        <v>79.310249999999613</v>
      </c>
      <c r="F518" s="30">
        <f t="shared" si="43"/>
        <v>46.924167581554421</v>
      </c>
    </row>
    <row r="519" spans="1:6">
      <c r="A519" s="30">
        <f t="shared" si="46"/>
        <v>1.5896458827164466</v>
      </c>
      <c r="B519">
        <f t="shared" si="42"/>
        <v>5.7572600652614492E-3</v>
      </c>
      <c r="C519" s="30">
        <f t="shared" si="44"/>
        <v>5.7572600652614492E-3</v>
      </c>
      <c r="D519" s="30">
        <f t="shared" si="45"/>
        <v>1.5896458827164466</v>
      </c>
      <c r="E519" s="30">
        <f t="shared" si="47"/>
        <v>79.467299999999611</v>
      </c>
      <c r="F519" s="30">
        <f t="shared" si="43"/>
        <v>46.924357954362364</v>
      </c>
    </row>
    <row r="520" spans="1:6">
      <c r="A520" s="30">
        <f t="shared" si="46"/>
        <v>1.5927874753700364</v>
      </c>
      <c r="B520">
        <f t="shared" si="42"/>
        <v>2.6172753093627321E-3</v>
      </c>
      <c r="C520" s="30">
        <f t="shared" si="44"/>
        <v>2.6172753093627321E-3</v>
      </c>
      <c r="D520" s="30">
        <f t="shared" si="45"/>
        <v>1.5927874753700364</v>
      </c>
      <c r="E520" s="30">
        <f t="shared" si="47"/>
        <v>79.624349999999609</v>
      </c>
      <c r="F520" s="30">
        <f t="shared" si="43"/>
        <v>46.924568338718643</v>
      </c>
    </row>
    <row r="521" spans="1:6">
      <c r="A521" s="30">
        <f t="shared" si="46"/>
        <v>1.5959290680236262</v>
      </c>
      <c r="B521">
        <f t="shared" si="42"/>
        <v>-5.0341798080122402E-4</v>
      </c>
      <c r="C521" s="30">
        <f t="shared" si="44"/>
        <v>5.0341798080122402E-4</v>
      </c>
      <c r="D521" s="30">
        <f t="shared" si="45"/>
        <v>1.5959290680236262</v>
      </c>
      <c r="E521" s="30">
        <f t="shared" si="47"/>
        <v>79.781399999999607</v>
      </c>
      <c r="F521" s="30">
        <f t="shared" si="43"/>
        <v>46.924798726317647</v>
      </c>
    </row>
    <row r="522" spans="1:6">
      <c r="A522" s="30">
        <f t="shared" si="46"/>
        <v>1.599070660677216</v>
      </c>
      <c r="B522">
        <f t="shared" si="42"/>
        <v>-3.6050580816019417E-3</v>
      </c>
      <c r="C522" s="30">
        <f t="shared" si="44"/>
        <v>3.6050580816019417E-3</v>
      </c>
      <c r="D522" s="30">
        <f t="shared" si="45"/>
        <v>1.599070660677216</v>
      </c>
      <c r="E522" s="30">
        <f t="shared" si="47"/>
        <v>79.938449999999605</v>
      </c>
      <c r="F522" s="30">
        <f t="shared" si="43"/>
        <v>46.925049108064073</v>
      </c>
    </row>
    <row r="523" spans="1:6">
      <c r="A523" s="30">
        <f t="shared" si="46"/>
        <v>1.6022122533308059</v>
      </c>
      <c r="B523">
        <f t="shared" si="42"/>
        <v>-6.6878796210514402E-3</v>
      </c>
      <c r="C523" s="30">
        <f t="shared" si="44"/>
        <v>6.6878796210514402E-3</v>
      </c>
      <c r="D523" s="30">
        <f t="shared" si="45"/>
        <v>1.6022122533308059</v>
      </c>
      <c r="E523" s="30">
        <f t="shared" si="47"/>
        <v>80.095499999999603</v>
      </c>
      <c r="F523" s="30">
        <f t="shared" si="43"/>
        <v>46.92531947407327</v>
      </c>
    </row>
    <row r="524" spans="1:6">
      <c r="A524" s="30">
        <f t="shared" si="46"/>
        <v>1.6053538459843957</v>
      </c>
      <c r="B524">
        <f t="shared" si="42"/>
        <v>-9.7521136501858563E-3</v>
      </c>
      <c r="C524" s="30">
        <f t="shared" si="44"/>
        <v>9.7521136501858563E-3</v>
      </c>
      <c r="D524" s="30">
        <f t="shared" si="45"/>
        <v>1.6053538459843957</v>
      </c>
      <c r="E524" s="30">
        <f t="shared" si="47"/>
        <v>80.252549999999601</v>
      </c>
      <c r="F524" s="30">
        <f t="shared" si="43"/>
        <v>46.925609813671656</v>
      </c>
    </row>
    <row r="525" spans="1:6">
      <c r="A525" s="30">
        <f t="shared" si="46"/>
        <v>1.6084954386379855</v>
      </c>
      <c r="B525">
        <f t="shared" ref="B525:B588" si="48">$H$3*(SIN($H$4+A525)-SIN($H$5+A525))/(SIN($H$4+A525)-SIN(A525))-$H$6</f>
        <v>-1.279798771279228E-2</v>
      </c>
      <c r="C525" s="30">
        <f t="shared" si="44"/>
        <v>1.279798771279228E-2</v>
      </c>
      <c r="D525" s="30">
        <f t="shared" si="45"/>
        <v>1.6084954386379855</v>
      </c>
      <c r="E525" s="30">
        <f t="shared" si="47"/>
        <v>80.4095999999996</v>
      </c>
      <c r="F525" s="30">
        <f t="shared" ref="F525:F588" si="49">$M$5*SIN(2*PI()/$B$7*E525+$M$4)+$M$6</f>
        <v>46.925920115397119</v>
      </c>
    </row>
    <row r="526" spans="1:6">
      <c r="A526" s="30">
        <f t="shared" si="46"/>
        <v>1.6116370312915753</v>
      </c>
      <c r="B526">
        <f t="shared" si="48"/>
        <v>-1.5825725913523936E-2</v>
      </c>
      <c r="C526" s="30">
        <f t="shared" ref="C526:C589" si="50">ABS(B526)</f>
        <v>1.5825725913523936E-2</v>
      </c>
      <c r="D526" s="30">
        <f t="shared" ref="D526:D589" si="51">A526</f>
        <v>1.6116370312915753</v>
      </c>
      <c r="E526" s="30">
        <f t="shared" si="47"/>
        <v>80.566649999999598</v>
      </c>
      <c r="F526" s="30">
        <f t="shared" si="49"/>
        <v>46.926250366999476</v>
      </c>
    </row>
    <row r="527" spans="1:6">
      <c r="A527" s="30">
        <f t="shared" ref="A527:A590" si="52">A526+PI()/1000</f>
        <v>1.6147786239451651</v>
      </c>
      <c r="B527">
        <f t="shared" si="48"/>
        <v>-1.8835548984447226E-2</v>
      </c>
      <c r="C527" s="30">
        <f t="shared" si="50"/>
        <v>1.8835548984447226E-2</v>
      </c>
      <c r="D527" s="30">
        <f t="shared" si="51"/>
        <v>1.6147786239451651</v>
      </c>
      <c r="E527" s="30">
        <f t="shared" ref="E527:E590" si="53">E526+$B$7/1000</f>
        <v>80.723699999999596</v>
      </c>
      <c r="F527" s="30">
        <f t="shared" si="49"/>
        <v>46.926600555440963</v>
      </c>
    </row>
    <row r="528" spans="1:6">
      <c r="A528" s="30">
        <f t="shared" si="52"/>
        <v>1.617920216598755</v>
      </c>
      <c r="B528">
        <f t="shared" si="48"/>
        <v>-2.1827674350064163E-2</v>
      </c>
      <c r="C528" s="30">
        <f t="shared" si="50"/>
        <v>2.1827674350064163E-2</v>
      </c>
      <c r="D528" s="30">
        <f t="shared" si="51"/>
        <v>1.617920216598755</v>
      </c>
      <c r="E528" s="30">
        <f t="shared" si="53"/>
        <v>80.880749999999594</v>
      </c>
      <c r="F528" s="30">
        <f t="shared" si="49"/>
        <v>46.926970666896736</v>
      </c>
    </row>
    <row r="529" spans="1:6">
      <c r="A529" s="30">
        <f t="shared" si="52"/>
        <v>1.6210618092523448</v>
      </c>
      <c r="B529">
        <f t="shared" si="48"/>
        <v>-2.4802316190851437E-2</v>
      </c>
      <c r="C529" s="30">
        <f t="shared" si="50"/>
        <v>2.4802316190851437E-2</v>
      </c>
      <c r="D529" s="30">
        <f t="shared" si="51"/>
        <v>1.6210618092523448</v>
      </c>
      <c r="E529" s="30">
        <f t="shared" si="53"/>
        <v>81.037799999999592</v>
      </c>
      <c r="F529" s="30">
        <f t="shared" si="49"/>
        <v>46.927360686755435</v>
      </c>
    </row>
    <row r="530" spans="1:6">
      <c r="A530" s="30">
        <f t="shared" si="52"/>
        <v>1.6242034019059346</v>
      </c>
      <c r="B530">
        <f t="shared" si="48"/>
        <v>-2.7759685505350684E-2</v>
      </c>
      <c r="C530" s="30">
        <f t="shared" si="50"/>
        <v>2.7759685505350684E-2</v>
      </c>
      <c r="D530" s="30">
        <f t="shared" si="51"/>
        <v>1.6242034019059346</v>
      </c>
      <c r="E530" s="30">
        <f t="shared" si="53"/>
        <v>81.19484999999959</v>
      </c>
      <c r="F530" s="30">
        <f t="shared" si="49"/>
        <v>46.927770599619741</v>
      </c>
    </row>
    <row r="531" spans="1:6">
      <c r="A531" s="30">
        <f t="shared" si="52"/>
        <v>1.6273449945595244</v>
      </c>
      <c r="B531">
        <f t="shared" si="48"/>
        <v>-3.0699990170852953E-2</v>
      </c>
      <c r="C531" s="30">
        <f t="shared" si="50"/>
        <v>3.0699990170852953E-2</v>
      </c>
      <c r="D531" s="30">
        <f t="shared" si="51"/>
        <v>1.6273449945595244</v>
      </c>
      <c r="E531" s="30">
        <f t="shared" si="53"/>
        <v>81.351899999999588</v>
      </c>
      <c r="F531" s="30">
        <f t="shared" si="49"/>
        <v>46.928200389306994</v>
      </c>
    </row>
    <row r="532" spans="1:6">
      <c r="A532" s="30">
        <f t="shared" si="52"/>
        <v>1.6304865872131142</v>
      </c>
      <c r="B532">
        <f t="shared" si="48"/>
        <v>-3.3623435002715141E-2</v>
      </c>
      <c r="C532" s="30">
        <f t="shared" si="50"/>
        <v>3.3623435002715141E-2</v>
      </c>
      <c r="D532" s="30">
        <f t="shared" si="51"/>
        <v>1.6304865872131142</v>
      </c>
      <c r="E532" s="30">
        <f t="shared" si="53"/>
        <v>81.508949999999587</v>
      </c>
      <c r="F532" s="30">
        <f t="shared" si="49"/>
        <v>46.928650038849831</v>
      </c>
    </row>
    <row r="533" spans="1:6">
      <c r="A533" s="30">
        <f t="shared" si="52"/>
        <v>1.6336281798667041</v>
      </c>
      <c r="B533">
        <f t="shared" si="48"/>
        <v>-3.6530221812341612E-2</v>
      </c>
      <c r="C533" s="30">
        <f t="shared" si="50"/>
        <v>3.6530221812341612E-2</v>
      </c>
      <c r="D533" s="30">
        <f t="shared" si="51"/>
        <v>1.6336281798667041</v>
      </c>
      <c r="E533" s="30">
        <f t="shared" si="53"/>
        <v>81.665999999999585</v>
      </c>
      <c r="F533" s="30">
        <f t="shared" si="49"/>
        <v>46.929119530496862</v>
      </c>
    </row>
    <row r="534" spans="1:6">
      <c r="A534" s="30">
        <f t="shared" si="52"/>
        <v>1.6367697725202939</v>
      </c>
      <c r="B534">
        <f t="shared" si="48"/>
        <v>-3.9420549463866972E-2</v>
      </c>
      <c r="C534" s="30">
        <f t="shared" si="50"/>
        <v>3.9420549463866972E-2</v>
      </c>
      <c r="D534" s="30">
        <f t="shared" si="51"/>
        <v>1.6367697725202939</v>
      </c>
      <c r="E534" s="30">
        <f t="shared" si="53"/>
        <v>81.823049999999583</v>
      </c>
      <c r="F534" s="30">
        <f t="shared" si="49"/>
        <v>46.929608845713361</v>
      </c>
    </row>
    <row r="535" spans="1:6">
      <c r="A535" s="30">
        <f t="shared" si="52"/>
        <v>1.6399113651738837</v>
      </c>
      <c r="B535">
        <f t="shared" si="48"/>
        <v>-4.22946139295724E-2</v>
      </c>
      <c r="C535" s="30">
        <f t="shared" si="50"/>
        <v>4.22946139295724E-2</v>
      </c>
      <c r="D535" s="30">
        <f t="shared" si="51"/>
        <v>1.6399113651738837</v>
      </c>
      <c r="E535" s="30">
        <f t="shared" si="53"/>
        <v>81.980099999999581</v>
      </c>
      <c r="F535" s="30">
        <f t="shared" si="49"/>
        <v>46.930117965181999</v>
      </c>
    </row>
    <row r="536" spans="1:6">
      <c r="A536" s="30">
        <f t="shared" si="52"/>
        <v>1.6430529578274735</v>
      </c>
      <c r="B536">
        <f t="shared" si="48"/>
        <v>-4.5152608344073308E-2</v>
      </c>
      <c r="C536" s="30">
        <f t="shared" si="50"/>
        <v>4.5152608344073308E-2</v>
      </c>
      <c r="D536" s="30">
        <f t="shared" si="51"/>
        <v>1.6430529578274735</v>
      </c>
      <c r="E536" s="30">
        <f t="shared" si="53"/>
        <v>82.137149999999579</v>
      </c>
      <c r="F536" s="30">
        <f t="shared" si="49"/>
        <v>46.930646868803613</v>
      </c>
    </row>
    <row r="537" spans="1:6">
      <c r="A537" s="30">
        <f t="shared" si="52"/>
        <v>1.6461945504810633</v>
      </c>
      <c r="B537">
        <f t="shared" si="48"/>
        <v>-4.7994723057306343E-2</v>
      </c>
      <c r="C537" s="30">
        <f t="shared" si="50"/>
        <v>4.7994723057306343E-2</v>
      </c>
      <c r="D537" s="30">
        <f t="shared" si="51"/>
        <v>1.6461945504810633</v>
      </c>
      <c r="E537" s="30">
        <f t="shared" si="53"/>
        <v>82.294199999999577</v>
      </c>
      <c r="F537" s="30">
        <f t="shared" si="49"/>
        <v>46.931195535697995</v>
      </c>
    </row>
    <row r="538" spans="1:6">
      <c r="A538" s="30">
        <f t="shared" si="52"/>
        <v>1.6493361431346532</v>
      </c>
      <c r="B538">
        <f t="shared" si="48"/>
        <v>-5.0821145686345603E-2</v>
      </c>
      <c r="C538" s="30">
        <f t="shared" si="50"/>
        <v>5.0821145686345603E-2</v>
      </c>
      <c r="D538" s="30">
        <f t="shared" si="51"/>
        <v>1.6493361431346532</v>
      </c>
      <c r="E538" s="30">
        <f t="shared" si="53"/>
        <v>82.451249999999575</v>
      </c>
      <c r="F538" s="30">
        <f t="shared" si="49"/>
        <v>46.931763944204711</v>
      </c>
    </row>
    <row r="539" spans="1:6">
      <c r="A539" s="30">
        <f t="shared" si="52"/>
        <v>1.652477735788243</v>
      </c>
      <c r="B539">
        <f t="shared" si="48"/>
        <v>-5.3632061166080769E-2</v>
      </c>
      <c r="C539" s="30">
        <f t="shared" si="50"/>
        <v>5.3632061166080769E-2</v>
      </c>
      <c r="D539" s="30">
        <f t="shared" si="51"/>
        <v>1.652477735788243</v>
      </c>
      <c r="E539" s="30">
        <f t="shared" si="53"/>
        <v>82.608299999999574</v>
      </c>
      <c r="F539" s="30">
        <f t="shared" si="49"/>
        <v>46.932352071883969</v>
      </c>
    </row>
    <row r="540" spans="1:6">
      <c r="A540" s="30">
        <f t="shared" si="52"/>
        <v>1.6556193284418328</v>
      </c>
      <c r="B540">
        <f t="shared" si="48"/>
        <v>-5.6427651798787171E-2</v>
      </c>
      <c r="C540" s="30">
        <f t="shared" si="50"/>
        <v>5.6427651798787171E-2</v>
      </c>
      <c r="D540" s="30">
        <f t="shared" si="51"/>
        <v>1.6556193284418328</v>
      </c>
      <c r="E540" s="30">
        <f t="shared" si="53"/>
        <v>82.765349999999572</v>
      </c>
      <c r="F540" s="30">
        <f t="shared" si="49"/>
        <v>46.932959895517492</v>
      </c>
    </row>
    <row r="541" spans="1:6">
      <c r="A541" s="30">
        <f t="shared" si="52"/>
        <v>1.6587609210954226</v>
      </c>
      <c r="B541">
        <f t="shared" si="48"/>
        <v>-5.9208097302614504E-2</v>
      </c>
      <c r="C541" s="30">
        <f t="shared" si="50"/>
        <v>5.9208097302614504E-2</v>
      </c>
      <c r="D541" s="30">
        <f t="shared" si="51"/>
        <v>1.6587609210954226</v>
      </c>
      <c r="E541" s="30">
        <f t="shared" si="53"/>
        <v>82.92239999999957</v>
      </c>
      <c r="F541" s="30">
        <f t="shared" si="49"/>
        <v>46.933587391109448</v>
      </c>
    </row>
    <row r="542" spans="1:6">
      <c r="A542" s="30">
        <f t="shared" si="52"/>
        <v>1.6619025137490124</v>
      </c>
      <c r="B542">
        <f t="shared" si="48"/>
        <v>-6.1973574859020331E-2</v>
      </c>
      <c r="C542" s="30">
        <f t="shared" si="50"/>
        <v>6.1973574859020331E-2</v>
      </c>
      <c r="D542" s="30">
        <f t="shared" si="51"/>
        <v>1.6619025137490124</v>
      </c>
      <c r="E542" s="30">
        <f t="shared" si="53"/>
        <v>83.079449999999568</v>
      </c>
      <c r="F542" s="30">
        <f t="shared" si="49"/>
        <v>46.934234533887384</v>
      </c>
    </row>
    <row r="543" spans="1:6">
      <c r="A543" s="30">
        <f t="shared" si="52"/>
        <v>1.6650441064026023</v>
      </c>
      <c r="B543">
        <f t="shared" si="48"/>
        <v>-6.4724259159177067E-2</v>
      </c>
      <c r="C543" s="30">
        <f t="shared" si="50"/>
        <v>6.4724259159177067E-2</v>
      </c>
      <c r="D543" s="30">
        <f t="shared" si="51"/>
        <v>1.6650441064026023</v>
      </c>
      <c r="E543" s="30">
        <f t="shared" si="53"/>
        <v>83.236499999999566</v>
      </c>
      <c r="F543" s="30">
        <f t="shared" si="49"/>
        <v>46.93490129830321</v>
      </c>
    </row>
    <row r="544" spans="1:6">
      <c r="A544" s="30">
        <f t="shared" si="52"/>
        <v>1.6681856990561921</v>
      </c>
      <c r="B544">
        <f t="shared" si="48"/>
        <v>-6.7460322449379106E-2</v>
      </c>
      <c r="C544" s="30">
        <f t="shared" si="50"/>
        <v>6.7460322449379106E-2</v>
      </c>
      <c r="D544" s="30">
        <f t="shared" si="51"/>
        <v>1.6681856990561921</v>
      </c>
      <c r="E544" s="30">
        <f t="shared" si="53"/>
        <v>83.393549999999564</v>
      </c>
      <c r="F544" s="30">
        <f t="shared" si="49"/>
        <v>46.935587658034208</v>
      </c>
    </row>
    <row r="545" spans="1:6">
      <c r="A545" s="30">
        <f t="shared" si="52"/>
        <v>1.6713272917097819</v>
      </c>
      <c r="B545">
        <f t="shared" si="48"/>
        <v>-7.0181934575474947E-2</v>
      </c>
      <c r="C545" s="30">
        <f t="shared" si="50"/>
        <v>7.0181934575474947E-2</v>
      </c>
      <c r="D545" s="30">
        <f t="shared" si="51"/>
        <v>1.6713272917097819</v>
      </c>
      <c r="E545" s="30">
        <f t="shared" si="53"/>
        <v>83.550599999999562</v>
      </c>
      <c r="F545" s="30">
        <f t="shared" si="49"/>
        <v>46.936293585984075</v>
      </c>
    </row>
    <row r="546" spans="1:6">
      <c r="A546" s="30">
        <f t="shared" si="52"/>
        <v>1.6744688843633717</v>
      </c>
      <c r="B546">
        <f t="shared" si="48"/>
        <v>-7.2889263026346462E-2</v>
      </c>
      <c r="C546" s="30">
        <f t="shared" si="50"/>
        <v>7.2889263026346462E-2</v>
      </c>
      <c r="D546" s="30">
        <f t="shared" si="51"/>
        <v>1.6744688843633717</v>
      </c>
      <c r="E546" s="30">
        <f t="shared" si="53"/>
        <v>83.70764999999956</v>
      </c>
      <c r="F546" s="30">
        <f t="shared" si="49"/>
        <v>46.937019054283986</v>
      </c>
    </row>
    <row r="547" spans="1:6">
      <c r="A547" s="30">
        <f t="shared" si="52"/>
        <v>1.6776104770169615</v>
      </c>
      <c r="B547">
        <f t="shared" si="48"/>
        <v>-7.5582472976460147E-2</v>
      </c>
      <c r="C547" s="30">
        <f t="shared" si="50"/>
        <v>7.5582472976460147E-2</v>
      </c>
      <c r="D547" s="30">
        <f t="shared" si="51"/>
        <v>1.6776104770169615</v>
      </c>
      <c r="E547" s="30">
        <f t="shared" si="53"/>
        <v>83.864699999999559</v>
      </c>
      <c r="F547" s="30">
        <f t="shared" si="49"/>
        <v>46.937764034293686</v>
      </c>
    </row>
    <row r="548" spans="1:6">
      <c r="A548" s="30">
        <f t="shared" si="52"/>
        <v>1.6807520696705514</v>
      </c>
      <c r="B548">
        <f t="shared" si="48"/>
        <v>-7.8261727327517017E-2</v>
      </c>
      <c r="C548" s="30">
        <f t="shared" si="50"/>
        <v>7.8261727327517017E-2</v>
      </c>
      <c r="D548" s="30">
        <f t="shared" si="51"/>
        <v>1.6807520696705514</v>
      </c>
      <c r="E548" s="30">
        <f t="shared" si="53"/>
        <v>84.021749999999557</v>
      </c>
      <c r="F548" s="30">
        <f t="shared" si="49"/>
        <v>46.938528496602643</v>
      </c>
    </row>
    <row r="549" spans="1:6">
      <c r="A549" s="30">
        <f t="shared" si="52"/>
        <v>1.6838936623241412</v>
      </c>
      <c r="B549">
        <f t="shared" si="48"/>
        <v>-8.0927186749219615E-2</v>
      </c>
      <c r="C549" s="30">
        <f t="shared" si="50"/>
        <v>8.0927186749219615E-2</v>
      </c>
      <c r="D549" s="30">
        <f t="shared" si="51"/>
        <v>1.6838936623241412</v>
      </c>
      <c r="E549" s="30">
        <f t="shared" si="53"/>
        <v>84.178799999999555</v>
      </c>
      <c r="F549" s="30">
        <f t="shared" si="49"/>
        <v>46.939312411031203</v>
      </c>
    </row>
    <row r="550" spans="1:6">
      <c r="A550" s="30">
        <f t="shared" si="52"/>
        <v>1.687035254977731</v>
      </c>
      <c r="B550">
        <f t="shared" si="48"/>
        <v>-8.3579009719178032E-2</v>
      </c>
      <c r="C550" s="30">
        <f t="shared" si="50"/>
        <v>8.3579009719178032E-2</v>
      </c>
      <c r="D550" s="30">
        <f t="shared" si="51"/>
        <v>1.687035254977731</v>
      </c>
      <c r="E550" s="30">
        <f t="shared" si="53"/>
        <v>84.335849999999553</v>
      </c>
      <c r="F550" s="30">
        <f t="shared" si="49"/>
        <v>46.940115746631754</v>
      </c>
    </row>
    <row r="551" spans="1:6">
      <c r="A551" s="30">
        <f t="shared" si="52"/>
        <v>1.6901768476313208</v>
      </c>
      <c r="B551">
        <f t="shared" si="48"/>
        <v>-8.6217352561977934E-2</v>
      </c>
      <c r="C551" s="30">
        <f t="shared" si="50"/>
        <v>8.6217352561977934E-2</v>
      </c>
      <c r="D551" s="30">
        <f t="shared" si="51"/>
        <v>1.6901768476313208</v>
      </c>
      <c r="E551" s="30">
        <f t="shared" si="53"/>
        <v>84.492899999999551</v>
      </c>
      <c r="F551" s="30">
        <f t="shared" si="49"/>
        <v>46.940938471689982</v>
      </c>
    </row>
    <row r="552" spans="1:6">
      <c r="A552" s="30">
        <f t="shared" si="52"/>
        <v>1.6933184402849106</v>
      </c>
      <c r="B552">
        <f t="shared" si="48"/>
        <v>-8.8842369487430684E-2</v>
      </c>
      <c r="C552" s="30">
        <f t="shared" si="50"/>
        <v>8.8842369487430684E-2</v>
      </c>
      <c r="D552" s="30">
        <f t="shared" si="51"/>
        <v>1.6933184402849106</v>
      </c>
      <c r="E552" s="30">
        <f t="shared" si="53"/>
        <v>84.649949999999549</v>
      </c>
      <c r="F552" s="30">
        <f t="shared" si="49"/>
        <v>46.941780553726126</v>
      </c>
    </row>
    <row r="553" spans="1:6">
      <c r="A553" s="30">
        <f t="shared" si="52"/>
        <v>1.6964600329385005</v>
      </c>
      <c r="B553">
        <f t="shared" si="48"/>
        <v>-9.1454212628026998E-2</v>
      </c>
      <c r="C553" s="30">
        <f t="shared" si="50"/>
        <v>9.1454212628026998E-2</v>
      </c>
      <c r="D553" s="30">
        <f t="shared" si="51"/>
        <v>1.6964600329385005</v>
      </c>
      <c r="E553" s="30">
        <f t="shared" si="53"/>
        <v>84.806999999999547</v>
      </c>
      <c r="F553" s="30">
        <f t="shared" si="49"/>
        <v>46.942641959496214</v>
      </c>
    </row>
    <row r="554" spans="1:6">
      <c r="A554" s="30">
        <f t="shared" si="52"/>
        <v>1.6996016255920903</v>
      </c>
      <c r="B554">
        <f t="shared" si="48"/>
        <v>-9.4053032075609777E-2</v>
      </c>
      <c r="C554" s="30">
        <f t="shared" si="50"/>
        <v>9.4053032075609777E-2</v>
      </c>
      <c r="D554" s="30">
        <f t="shared" si="51"/>
        <v>1.6996016255920903</v>
      </c>
      <c r="E554" s="30">
        <f t="shared" si="53"/>
        <v>84.964049999999546</v>
      </c>
      <c r="F554" s="30">
        <f t="shared" si="49"/>
        <v>46.943522654993423</v>
      </c>
    </row>
    <row r="555" spans="1:6">
      <c r="A555" s="30">
        <f t="shared" si="52"/>
        <v>1.7027432182456801</v>
      </c>
      <c r="B555">
        <f t="shared" si="48"/>
        <v>-9.6638975917287595E-2</v>
      </c>
      <c r="C555" s="30">
        <f t="shared" si="50"/>
        <v>9.6638975917287595E-2</v>
      </c>
      <c r="D555" s="30">
        <f t="shared" si="51"/>
        <v>1.7027432182456801</v>
      </c>
      <c r="E555" s="30">
        <f t="shared" si="53"/>
        <v>85.121099999999544</v>
      </c>
      <c r="F555" s="30">
        <f t="shared" si="49"/>
        <v>46.944422605449411</v>
      </c>
    </row>
    <row r="556" spans="1:6">
      <c r="A556" s="30">
        <f t="shared" si="52"/>
        <v>1.7058848108992699</v>
      </c>
      <c r="B556">
        <f t="shared" si="48"/>
        <v>-9.9212190270608458E-2</v>
      </c>
      <c r="C556" s="30">
        <f t="shared" si="50"/>
        <v>9.9212190270608458E-2</v>
      </c>
      <c r="D556" s="30">
        <f t="shared" si="51"/>
        <v>1.7058848108992699</v>
      </c>
      <c r="E556" s="30">
        <f t="shared" si="53"/>
        <v>85.278149999999542</v>
      </c>
      <c r="F556" s="30">
        <f t="shared" si="49"/>
        <v>46.945341775335663</v>
      </c>
    </row>
    <row r="557" spans="1:6">
      <c r="A557" s="30">
        <f t="shared" si="52"/>
        <v>1.7090264035528597</v>
      </c>
      <c r="B557">
        <f t="shared" si="48"/>
        <v>-0.10177281931801141</v>
      </c>
      <c r="C557" s="30">
        <f t="shared" si="50"/>
        <v>0.10177281931801141</v>
      </c>
      <c r="D557" s="30">
        <f t="shared" si="51"/>
        <v>1.7090264035528597</v>
      </c>
      <c r="E557" s="30">
        <f t="shared" si="53"/>
        <v>85.43519999999954</v>
      </c>
      <c r="F557" s="30">
        <f t="shared" si="49"/>
        <v>46.94628012836494</v>
      </c>
    </row>
    <row r="558" spans="1:6">
      <c r="A558" s="30">
        <f t="shared" si="52"/>
        <v>1.7121679962064495</v>
      </c>
      <c r="B558">
        <f t="shared" si="48"/>
        <v>-0.10432100534056898</v>
      </c>
      <c r="C558" s="30">
        <f t="shared" si="50"/>
        <v>0.10432100534056898</v>
      </c>
      <c r="D558" s="30">
        <f t="shared" si="51"/>
        <v>1.7121679962064495</v>
      </c>
      <c r="E558" s="30">
        <f t="shared" si="53"/>
        <v>85.592249999999538</v>
      </c>
      <c r="F558" s="30">
        <f t="shared" si="49"/>
        <v>46.947237627492655</v>
      </c>
    </row>
    <row r="559" spans="1:6">
      <c r="A559" s="30">
        <f t="shared" si="52"/>
        <v>1.7153095888600394</v>
      </c>
      <c r="B559">
        <f t="shared" si="48"/>
        <v>-0.10685688875104327</v>
      </c>
      <c r="C559" s="30">
        <f t="shared" si="50"/>
        <v>0.10685688875104327</v>
      </c>
      <c r="D559" s="30">
        <f t="shared" si="51"/>
        <v>1.7153095888600394</v>
      </c>
      <c r="E559" s="30">
        <f t="shared" si="53"/>
        <v>85.749299999999536</v>
      </c>
      <c r="F559" s="30">
        <f t="shared" si="49"/>
        <v>46.948214234918396</v>
      </c>
    </row>
    <row r="560" spans="1:6">
      <c r="A560" s="30">
        <f t="shared" si="52"/>
        <v>1.7184511815136292</v>
      </c>
      <c r="B560">
        <f t="shared" si="48"/>
        <v>-0.1093806081262691</v>
      </c>
      <c r="C560" s="30">
        <f t="shared" si="50"/>
        <v>0.1093806081262691</v>
      </c>
      <c r="D560" s="30">
        <f t="shared" si="51"/>
        <v>1.7184511815136292</v>
      </c>
      <c r="E560" s="30">
        <f t="shared" si="53"/>
        <v>85.906349999999534</v>
      </c>
      <c r="F560" s="30">
        <f t="shared" si="49"/>
        <v>46.949209912087369</v>
      </c>
    </row>
    <row r="561" spans="1:6">
      <c r="A561" s="30">
        <f t="shared" si="52"/>
        <v>1.721592774167219</v>
      </c>
      <c r="B561">
        <f t="shared" si="48"/>
        <v>-0.11189230023888258</v>
      </c>
      <c r="C561" s="30">
        <f t="shared" si="50"/>
        <v>0.11189230023888258</v>
      </c>
      <c r="D561" s="30">
        <f t="shared" si="51"/>
        <v>1.721592774167219</v>
      </c>
      <c r="E561" s="30">
        <f t="shared" si="53"/>
        <v>86.063399999999532</v>
      </c>
      <c r="F561" s="30">
        <f t="shared" si="49"/>
        <v>46.950224619691944</v>
      </c>
    </row>
    <row r="562" spans="1:6">
      <c r="A562" s="30">
        <f t="shared" si="52"/>
        <v>1.7247343668208088</v>
      </c>
      <c r="B562">
        <f t="shared" si="48"/>
        <v>-0.11439210008840639</v>
      </c>
      <c r="C562" s="30">
        <f t="shared" si="50"/>
        <v>0.11439210008840639</v>
      </c>
      <c r="D562" s="30">
        <f t="shared" si="51"/>
        <v>1.7247343668208088</v>
      </c>
      <c r="E562" s="30">
        <f t="shared" si="53"/>
        <v>86.220449999999531</v>
      </c>
      <c r="F562" s="30">
        <f t="shared" si="49"/>
        <v>46.951258317673201</v>
      </c>
    </row>
    <row r="563" spans="1:6">
      <c r="A563" s="30">
        <f t="shared" si="52"/>
        <v>1.7278759594743986</v>
      </c>
      <c r="B563">
        <f t="shared" si="48"/>
        <v>-0.11688014093171062</v>
      </c>
      <c r="C563" s="30">
        <f t="shared" si="50"/>
        <v>0.11688014093171062</v>
      </c>
      <c r="D563" s="30">
        <f t="shared" si="51"/>
        <v>1.7278759594743986</v>
      </c>
      <c r="E563" s="30">
        <f t="shared" si="53"/>
        <v>86.377499999999529</v>
      </c>
      <c r="F563" s="30">
        <f t="shared" si="49"/>
        <v>46.952310965222516</v>
      </c>
    </row>
    <row r="564" spans="1:6">
      <c r="A564" s="30">
        <f t="shared" si="52"/>
        <v>1.7310175521279885</v>
      </c>
      <c r="B564">
        <f t="shared" si="48"/>
        <v>-0.11935655431286385</v>
      </c>
      <c r="C564" s="30">
        <f t="shared" si="50"/>
        <v>0.11935655431286385</v>
      </c>
      <c r="D564" s="30">
        <f t="shared" si="51"/>
        <v>1.7310175521279885</v>
      </c>
      <c r="E564" s="30">
        <f t="shared" si="53"/>
        <v>86.534549999999527</v>
      </c>
      <c r="F564" s="30">
        <f t="shared" si="49"/>
        <v>46.953382520783158</v>
      </c>
    </row>
    <row r="565" spans="1:6">
      <c r="A565" s="30">
        <f t="shared" si="52"/>
        <v>1.7341591447815783</v>
      </c>
      <c r="B565">
        <f t="shared" si="48"/>
        <v>-0.12182147009238747</v>
      </c>
      <c r="C565" s="30">
        <f t="shared" si="50"/>
        <v>0.12182147009238747</v>
      </c>
      <c r="D565" s="30">
        <f t="shared" si="51"/>
        <v>1.7341591447815783</v>
      </c>
      <c r="E565" s="30">
        <f t="shared" si="53"/>
        <v>86.691599999999525</v>
      </c>
      <c r="F565" s="30">
        <f t="shared" si="49"/>
        <v>46.954472942051964</v>
      </c>
    </row>
    <row r="566" spans="1:6">
      <c r="A566" s="30">
        <f t="shared" si="52"/>
        <v>1.7373007374351681</v>
      </c>
      <c r="B566">
        <f t="shared" si="48"/>
        <v>-0.12427501647592809</v>
      </c>
      <c r="C566" s="30">
        <f t="shared" si="50"/>
        <v>0.12427501647592809</v>
      </c>
      <c r="D566" s="30">
        <f t="shared" si="51"/>
        <v>1.7373007374351681</v>
      </c>
      <c r="E566" s="30">
        <f t="shared" si="53"/>
        <v>86.848649999999523</v>
      </c>
      <c r="F566" s="30">
        <f t="shared" si="49"/>
        <v>46.955582185980958</v>
      </c>
    </row>
    <row r="567" spans="1:6">
      <c r="A567" s="30">
        <f t="shared" si="52"/>
        <v>1.7404423300887579</v>
      </c>
      <c r="B567">
        <f t="shared" si="48"/>
        <v>-0.12671732004235947</v>
      </c>
      <c r="C567" s="30">
        <f t="shared" si="50"/>
        <v>0.12671732004235947</v>
      </c>
      <c r="D567" s="30">
        <f t="shared" si="51"/>
        <v>1.7404423300887579</v>
      </c>
      <c r="E567" s="30">
        <f t="shared" si="53"/>
        <v>87.005699999999521</v>
      </c>
      <c r="F567" s="30">
        <f t="shared" si="49"/>
        <v>46.956710208779086</v>
      </c>
    </row>
    <row r="568" spans="1:6">
      <c r="A568" s="30">
        <f t="shared" si="52"/>
        <v>1.7435839227423477</v>
      </c>
      <c r="B568">
        <f t="shared" si="48"/>
        <v>-0.12914850577133113</v>
      </c>
      <c r="C568" s="30">
        <f t="shared" si="50"/>
        <v>0.12914850577133113</v>
      </c>
      <c r="D568" s="30">
        <f t="shared" si="51"/>
        <v>1.7435839227423477</v>
      </c>
      <c r="E568" s="30">
        <f t="shared" si="53"/>
        <v>87.162749999999519</v>
      </c>
      <c r="F568" s="30">
        <f t="shared" si="49"/>
        <v>46.957856965913948</v>
      </c>
    </row>
    <row r="569" spans="1:6">
      <c r="A569" s="30">
        <f t="shared" si="52"/>
        <v>1.7467255153959376</v>
      </c>
      <c r="B569">
        <f t="shared" si="48"/>
        <v>-0.13156869707027502</v>
      </c>
      <c r="C569" s="30">
        <f t="shared" si="50"/>
        <v>0.13156869707027502</v>
      </c>
      <c r="D569" s="30">
        <f t="shared" si="51"/>
        <v>1.7467255153959376</v>
      </c>
      <c r="E569" s="30">
        <f t="shared" si="53"/>
        <v>87.319799999999518</v>
      </c>
      <c r="F569" s="30">
        <f t="shared" si="49"/>
        <v>46.959022412113541</v>
      </c>
    </row>
    <row r="570" spans="1:6">
      <c r="A570" s="30">
        <f t="shared" si="52"/>
        <v>1.7498671080495274</v>
      </c>
      <c r="B570">
        <f t="shared" si="48"/>
        <v>-0.13397801580088037</v>
      </c>
      <c r="C570" s="30">
        <f t="shared" si="50"/>
        <v>0.13397801580088037</v>
      </c>
      <c r="D570" s="30">
        <f t="shared" si="51"/>
        <v>1.7498671080495274</v>
      </c>
      <c r="E570" s="30">
        <f t="shared" si="53"/>
        <v>87.476849999999516</v>
      </c>
      <c r="F570" s="30">
        <f t="shared" si="49"/>
        <v>46.960206501368027</v>
      </c>
    </row>
    <row r="571" spans="1:6">
      <c r="A571" s="30">
        <f t="shared" si="52"/>
        <v>1.7530087007031172</v>
      </c>
      <c r="B571">
        <f t="shared" si="48"/>
        <v>-0.13637658230505073</v>
      </c>
      <c r="C571" s="30">
        <f t="shared" si="50"/>
        <v>0.13637658230505073</v>
      </c>
      <c r="D571" s="30">
        <f t="shared" si="51"/>
        <v>1.7530087007031172</v>
      </c>
      <c r="E571" s="30">
        <f t="shared" si="53"/>
        <v>87.633899999999514</v>
      </c>
      <c r="F571" s="30">
        <f t="shared" si="49"/>
        <v>46.961409186931597</v>
      </c>
    </row>
    <row r="572" spans="1:6">
      <c r="A572" s="30">
        <f t="shared" si="52"/>
        <v>1.756150293356707</v>
      </c>
      <c r="B572">
        <f t="shared" si="48"/>
        <v>-0.13876451543035767</v>
      </c>
      <c r="C572" s="30">
        <f t="shared" si="50"/>
        <v>0.13876451543035767</v>
      </c>
      <c r="D572" s="30">
        <f t="shared" si="51"/>
        <v>1.756150293356707</v>
      </c>
      <c r="E572" s="30">
        <f t="shared" si="53"/>
        <v>87.790949999999512</v>
      </c>
      <c r="F572" s="30">
        <f t="shared" si="49"/>
        <v>46.962630421324292</v>
      </c>
    </row>
    <row r="573" spans="1:6">
      <c r="A573" s="30">
        <f t="shared" si="52"/>
        <v>1.7592918860102968</v>
      </c>
      <c r="B573">
        <f t="shared" si="48"/>
        <v>-0.14114193255499885</v>
      </c>
      <c r="C573" s="30">
        <f t="shared" si="50"/>
        <v>0.14114193255499885</v>
      </c>
      <c r="D573" s="30">
        <f t="shared" si="51"/>
        <v>1.7592918860102968</v>
      </c>
      <c r="E573" s="30">
        <f t="shared" si="53"/>
        <v>87.94799999999951</v>
      </c>
      <c r="F573" s="30">
        <f t="shared" si="49"/>
        <v>46.963870156333861</v>
      </c>
    </row>
    <row r="574" spans="1:6">
      <c r="A574" s="30">
        <f t="shared" si="52"/>
        <v>1.7624334786638867</v>
      </c>
      <c r="B574">
        <f t="shared" si="48"/>
        <v>-0.14350894961227378</v>
      </c>
      <c r="C574" s="30">
        <f t="shared" si="50"/>
        <v>0.14350894961227378</v>
      </c>
      <c r="D574" s="30">
        <f t="shared" si="51"/>
        <v>1.7624334786638867</v>
      </c>
      <c r="E574" s="30">
        <f t="shared" si="53"/>
        <v>88.105049999999508</v>
      </c>
      <c r="F574" s="30">
        <f t="shared" si="49"/>
        <v>46.965128343017696</v>
      </c>
    </row>
    <row r="575" spans="1:6">
      <c r="A575" s="30">
        <f t="shared" si="52"/>
        <v>1.7655750713174765</v>
      </c>
      <c r="B575">
        <f t="shared" si="48"/>
        <v>-0.14586568111458614</v>
      </c>
      <c r="C575" s="30">
        <f t="shared" si="50"/>
        <v>0.14586568111458614</v>
      </c>
      <c r="D575" s="30">
        <f t="shared" si="51"/>
        <v>1.7655750713174765</v>
      </c>
      <c r="E575" s="30">
        <f t="shared" si="53"/>
        <v>88.262099999999506</v>
      </c>
      <c r="F575" s="30">
        <f t="shared" si="49"/>
        <v>46.96640493170473</v>
      </c>
    </row>
    <row r="576" spans="1:6">
      <c r="A576" s="30">
        <f t="shared" si="52"/>
        <v>1.7687166639710663</v>
      </c>
      <c r="B576">
        <f t="shared" si="48"/>
        <v>-0.14821224017698748</v>
      </c>
      <c r="C576" s="30">
        <f t="shared" si="50"/>
        <v>0.14821224017698748</v>
      </c>
      <c r="D576" s="30">
        <f t="shared" si="51"/>
        <v>1.7687166639710663</v>
      </c>
      <c r="E576" s="30">
        <f t="shared" si="53"/>
        <v>88.419149999999505</v>
      </c>
      <c r="F576" s="30">
        <f t="shared" si="49"/>
        <v>46.967699871997439</v>
      </c>
    </row>
    <row r="577" spans="1:6">
      <c r="A577" s="30">
        <f t="shared" si="52"/>
        <v>1.7718582566246561</v>
      </c>
      <c r="B577">
        <f t="shared" si="48"/>
        <v>-0.1505487385402699</v>
      </c>
      <c r="C577" s="30">
        <f t="shared" si="50"/>
        <v>0.1505487385402699</v>
      </c>
      <c r="D577" s="30">
        <f t="shared" si="51"/>
        <v>1.7718582566246561</v>
      </c>
      <c r="E577" s="30">
        <f t="shared" si="53"/>
        <v>88.576199999999503</v>
      </c>
      <c r="F577" s="30">
        <f t="shared" si="49"/>
        <v>46.969013112773794</v>
      </c>
    </row>
    <row r="578" spans="1:6">
      <c r="A578" s="30">
        <f t="shared" si="52"/>
        <v>1.7749998492782459</v>
      </c>
      <c r="B578">
        <f t="shared" si="48"/>
        <v>-0.15287528659361727</v>
      </c>
      <c r="C578" s="30">
        <f t="shared" si="50"/>
        <v>0.15287528659361727</v>
      </c>
      <c r="D578" s="30">
        <f t="shared" si="51"/>
        <v>1.7749998492782459</v>
      </c>
      <c r="E578" s="30">
        <f t="shared" si="53"/>
        <v>88.733249999999501</v>
      </c>
      <c r="F578" s="30">
        <f t="shared" si="49"/>
        <v>46.970344602189286</v>
      </c>
    </row>
    <row r="579" spans="1:6">
      <c r="A579" s="30">
        <f t="shared" si="52"/>
        <v>1.7781414419318358</v>
      </c>
      <c r="B579">
        <f t="shared" si="48"/>
        <v>-0.15519199339682577</v>
      </c>
      <c r="C579" s="30">
        <f t="shared" si="50"/>
        <v>0.15519199339682577</v>
      </c>
      <c r="D579" s="30">
        <f t="shared" si="51"/>
        <v>1.7781414419318358</v>
      </c>
      <c r="E579" s="30">
        <f t="shared" si="53"/>
        <v>88.890299999999499</v>
      </c>
      <c r="F579" s="30">
        <f t="shared" si="49"/>
        <v>46.971694287679014</v>
      </c>
    </row>
    <row r="580" spans="1:6">
      <c r="A580" s="30">
        <f t="shared" si="52"/>
        <v>1.7812830345854256</v>
      </c>
      <c r="B580">
        <f t="shared" si="48"/>
        <v>-0.15749896670210495</v>
      </c>
      <c r="C580" s="30">
        <f t="shared" si="50"/>
        <v>0.15749896670210495</v>
      </c>
      <c r="D580" s="30">
        <f t="shared" si="51"/>
        <v>1.7812830345854256</v>
      </c>
      <c r="E580" s="30">
        <f t="shared" si="53"/>
        <v>89.047349999999497</v>
      </c>
      <c r="F580" s="30">
        <f t="shared" si="49"/>
        <v>46.973062115959685</v>
      </c>
    </row>
    <row r="581" spans="1:6">
      <c r="A581" s="30">
        <f t="shared" si="52"/>
        <v>1.7844246272390154</v>
      </c>
      <c r="B581">
        <f t="shared" si="48"/>
        <v>-0.1597963129754677</v>
      </c>
      <c r="C581" s="30">
        <f t="shared" si="50"/>
        <v>0.1597963129754677</v>
      </c>
      <c r="D581" s="30">
        <f t="shared" si="51"/>
        <v>1.7844246272390154</v>
      </c>
      <c r="E581" s="30">
        <f t="shared" si="53"/>
        <v>89.204399999999495</v>
      </c>
      <c r="F581" s="30">
        <f t="shared" si="49"/>
        <v>46.974448033031798</v>
      </c>
    </row>
    <row r="582" spans="1:6">
      <c r="A582" s="30">
        <f t="shared" si="52"/>
        <v>1.7875662198926052</v>
      </c>
      <c r="B582">
        <f t="shared" si="48"/>
        <v>-0.16208413741771638</v>
      </c>
      <c r="C582" s="30">
        <f t="shared" si="50"/>
        <v>0.16208413741771638</v>
      </c>
      <c r="D582" s="30">
        <f t="shared" si="51"/>
        <v>1.7875662198926052</v>
      </c>
      <c r="E582" s="30">
        <f t="shared" si="53"/>
        <v>89.361449999999493</v>
      </c>
      <c r="F582" s="30">
        <f t="shared" si="49"/>
        <v>46.975851984181709</v>
      </c>
    </row>
    <row r="583" spans="1:6">
      <c r="A583" s="30">
        <f t="shared" si="52"/>
        <v>1.790707812546195</v>
      </c>
      <c r="B583">
        <f t="shared" si="48"/>
        <v>-0.1643625439850363</v>
      </c>
      <c r="C583" s="30">
        <f t="shared" si="50"/>
        <v>0.1643625439850363</v>
      </c>
      <c r="D583" s="30">
        <f t="shared" si="51"/>
        <v>1.790707812546195</v>
      </c>
      <c r="E583" s="30">
        <f t="shared" si="53"/>
        <v>89.518499999999491</v>
      </c>
      <c r="F583" s="30">
        <f t="shared" si="49"/>
        <v>46.977273913983836</v>
      </c>
    </row>
    <row r="584" spans="1:6">
      <c r="A584" s="30">
        <f t="shared" si="52"/>
        <v>1.7938494051997849</v>
      </c>
      <c r="B584">
        <f t="shared" si="48"/>
        <v>-0.16663163540920539</v>
      </c>
      <c r="C584" s="30">
        <f t="shared" si="50"/>
        <v>0.16663163540920539</v>
      </c>
      <c r="D584" s="30">
        <f t="shared" si="51"/>
        <v>1.7938494051997849</v>
      </c>
      <c r="E584" s="30">
        <f t="shared" si="53"/>
        <v>89.67554999999949</v>
      </c>
      <c r="F584" s="30">
        <f t="shared" si="49"/>
        <v>46.978713766302825</v>
      </c>
    </row>
    <row r="585" spans="1:6">
      <c r="A585" s="30">
        <f t="shared" si="52"/>
        <v>1.7969909978533747</v>
      </c>
      <c r="B585">
        <f t="shared" si="48"/>
        <v>-0.16889151321742807</v>
      </c>
      <c r="C585" s="30">
        <f t="shared" si="50"/>
        <v>0.16889151321742807</v>
      </c>
      <c r="D585" s="30">
        <f t="shared" si="51"/>
        <v>1.7969909978533747</v>
      </c>
      <c r="E585" s="30">
        <f t="shared" si="53"/>
        <v>89.832599999999488</v>
      </c>
      <c r="F585" s="30">
        <f t="shared" si="49"/>
        <v>46.980171484295767</v>
      </c>
    </row>
    <row r="586" spans="1:6">
      <c r="A586" s="30">
        <f t="shared" si="52"/>
        <v>1.8001325905069645</v>
      </c>
      <c r="B586">
        <f t="shared" si="48"/>
        <v>-0.17114227775180063</v>
      </c>
      <c r="C586" s="30">
        <f t="shared" si="50"/>
        <v>0.17114227775180063</v>
      </c>
      <c r="D586" s="30">
        <f t="shared" si="51"/>
        <v>1.8001325905069645</v>
      </c>
      <c r="E586" s="30">
        <f t="shared" si="53"/>
        <v>89.989649999999486</v>
      </c>
      <c r="F586" s="30">
        <f t="shared" si="49"/>
        <v>46.981647010414456</v>
      </c>
    </row>
    <row r="587" spans="1:6">
      <c r="A587" s="30">
        <f t="shared" si="52"/>
        <v>1.8032741831605543</v>
      </c>
      <c r="B587">
        <f t="shared" si="48"/>
        <v>-0.17338402818841686</v>
      </c>
      <c r="C587" s="30">
        <f t="shared" si="50"/>
        <v>0.17338402818841686</v>
      </c>
      <c r="D587" s="30">
        <f t="shared" si="51"/>
        <v>1.8032741831605543</v>
      </c>
      <c r="E587" s="30">
        <f t="shared" si="53"/>
        <v>90.146699999999484</v>
      </c>
      <c r="F587" s="30">
        <f t="shared" si="49"/>
        <v>46.98314028640764</v>
      </c>
    </row>
    <row r="588" spans="1:6">
      <c r="A588" s="30">
        <f t="shared" si="52"/>
        <v>1.8064157758141441</v>
      </c>
      <c r="B588">
        <f t="shared" si="48"/>
        <v>-0.17561686255612247</v>
      </c>
      <c r="C588" s="30">
        <f t="shared" si="50"/>
        <v>0.17561686255612247</v>
      </c>
      <c r="D588" s="30">
        <f t="shared" si="51"/>
        <v>1.8064157758141441</v>
      </c>
      <c r="E588" s="30">
        <f t="shared" si="53"/>
        <v>90.303749999999482</v>
      </c>
      <c r="F588" s="30">
        <f t="shared" si="49"/>
        <v>46.984651253323349</v>
      </c>
    </row>
    <row r="589" spans="1:6">
      <c r="A589" s="30">
        <f t="shared" si="52"/>
        <v>1.809557368467734</v>
      </c>
      <c r="B589">
        <f t="shared" ref="B589:B652" si="54">$H$3*(SIN($H$4+A589)-SIN($H$5+A589))/(SIN($H$4+A589)-SIN(A589))-$H$6</f>
        <v>-0.1778408777549268</v>
      </c>
      <c r="C589" s="30">
        <f t="shared" si="50"/>
        <v>0.1778408777549268</v>
      </c>
      <c r="D589" s="30">
        <f t="shared" si="51"/>
        <v>1.809557368467734</v>
      </c>
      <c r="E589" s="30">
        <f t="shared" si="53"/>
        <v>90.46079999999948</v>
      </c>
      <c r="F589" s="30">
        <f t="shared" ref="F589:F652" si="55">$M$5*SIN(2*PI()/$B$7*E589+$M$4)+$M$6</f>
        <v>46.986179851511196</v>
      </c>
    </row>
    <row r="590" spans="1:6">
      <c r="A590" s="30">
        <f t="shared" si="52"/>
        <v>1.8126989611213238</v>
      </c>
      <c r="B590">
        <f t="shared" si="54"/>
        <v>-0.18005616957407583</v>
      </c>
      <c r="C590" s="30">
        <f t="shared" ref="C590:C653" si="56">ABS(B590)</f>
        <v>0.18005616957407583</v>
      </c>
      <c r="D590" s="30">
        <f t="shared" ref="D590:D653" si="57">A590</f>
        <v>1.8126989611213238</v>
      </c>
      <c r="E590" s="30">
        <f t="shared" si="53"/>
        <v>90.617849999999478</v>
      </c>
      <c r="F590" s="30">
        <f t="shared" si="55"/>
        <v>46.987726020624741</v>
      </c>
    </row>
    <row r="591" spans="1:6">
      <c r="A591" s="30">
        <f t="shared" ref="A591:A654" si="58">A590+PI()/1000</f>
        <v>1.8158405537749136</v>
      </c>
      <c r="B591">
        <f t="shared" si="54"/>
        <v>-0.18226283270979704</v>
      </c>
      <c r="C591" s="30">
        <f t="shared" si="56"/>
        <v>0.18226283270979704</v>
      </c>
      <c r="D591" s="30">
        <f t="shared" si="57"/>
        <v>1.8158405537749136</v>
      </c>
      <c r="E591" s="30">
        <f t="shared" ref="E591:E654" si="59">E590+$B$7/1000</f>
        <v>90.774899999999477</v>
      </c>
      <c r="F591" s="30">
        <f t="shared" si="55"/>
        <v>46.989289699623868</v>
      </c>
    </row>
    <row r="592" spans="1:6">
      <c r="A592" s="30">
        <f t="shared" si="58"/>
        <v>1.8189821464285034</v>
      </c>
      <c r="B592">
        <f t="shared" si="54"/>
        <v>-0.18446096078272173</v>
      </c>
      <c r="C592" s="30">
        <f t="shared" si="56"/>
        <v>0.18446096078272173</v>
      </c>
      <c r="D592" s="30">
        <f t="shared" si="57"/>
        <v>1.8189821464285034</v>
      </c>
      <c r="E592" s="30">
        <f t="shared" si="59"/>
        <v>90.931949999999475</v>
      </c>
      <c r="F592" s="30">
        <f t="shared" si="55"/>
        <v>46.990870826777211</v>
      </c>
    </row>
    <row r="593" spans="1:6">
      <c r="A593" s="30">
        <f t="shared" si="58"/>
        <v>1.8221237390820932</v>
      </c>
      <c r="B593">
        <f t="shared" si="54"/>
        <v>-0.18665064635499473</v>
      </c>
      <c r="C593" s="30">
        <f t="shared" si="56"/>
        <v>0.18665064635499473</v>
      </c>
      <c r="D593" s="30">
        <f t="shared" si="57"/>
        <v>1.8221237390820932</v>
      </c>
      <c r="E593" s="30">
        <f t="shared" si="59"/>
        <v>91.088999999999473</v>
      </c>
      <c r="F593" s="30">
        <f t="shared" si="55"/>
        <v>46.992469339664581</v>
      </c>
    </row>
    <row r="594" spans="1:6">
      <c r="A594" s="30">
        <f t="shared" si="58"/>
        <v>1.8252653317356831</v>
      </c>
      <c r="B594">
        <f t="shared" si="54"/>
        <v>-0.18883198094707287</v>
      </c>
      <c r="C594" s="30">
        <f t="shared" si="56"/>
        <v>0.18883198094707287</v>
      </c>
      <c r="D594" s="30">
        <f t="shared" si="57"/>
        <v>1.8252653317356831</v>
      </c>
      <c r="E594" s="30">
        <f t="shared" si="59"/>
        <v>91.246049999999471</v>
      </c>
      <c r="F594" s="30">
        <f t="shared" si="55"/>
        <v>46.994085175179428</v>
      </c>
    </row>
    <row r="595" spans="1:6">
      <c r="A595" s="30">
        <f t="shared" si="58"/>
        <v>1.8284069243892729</v>
      </c>
      <c r="B595">
        <f t="shared" si="54"/>
        <v>-0.19100505505422211</v>
      </c>
      <c r="C595" s="30">
        <f t="shared" si="56"/>
        <v>0.19100505505422211</v>
      </c>
      <c r="D595" s="30">
        <f t="shared" si="57"/>
        <v>1.8284069243892729</v>
      </c>
      <c r="E595" s="30">
        <f t="shared" si="59"/>
        <v>91.403099999999469</v>
      </c>
      <c r="F595" s="30">
        <f t="shared" si="55"/>
        <v>46.995718269531324</v>
      </c>
    </row>
    <row r="596" spans="1:6">
      <c r="A596" s="30">
        <f t="shared" si="58"/>
        <v>1.8315485170428627</v>
      </c>
      <c r="B596">
        <f t="shared" si="54"/>
        <v>-0.19316995816272137</v>
      </c>
      <c r="C596" s="30">
        <f t="shared" si="56"/>
        <v>0.19316995816272137</v>
      </c>
      <c r="D596" s="30">
        <f t="shared" si="57"/>
        <v>1.8315485170428627</v>
      </c>
      <c r="E596" s="30">
        <f t="shared" si="59"/>
        <v>91.560149999999467</v>
      </c>
      <c r="F596" s="30">
        <f t="shared" si="55"/>
        <v>46.997368558248503</v>
      </c>
    </row>
    <row r="597" spans="1:6">
      <c r="A597" s="30">
        <f t="shared" si="58"/>
        <v>1.8346901096964525</v>
      </c>
      <c r="B597">
        <f t="shared" si="54"/>
        <v>-0.19532677876577703</v>
      </c>
      <c r="C597" s="30">
        <f t="shared" si="56"/>
        <v>0.19532677876577703</v>
      </c>
      <c r="D597" s="30">
        <f t="shared" si="57"/>
        <v>1.8346901096964525</v>
      </c>
      <c r="E597" s="30">
        <f t="shared" si="59"/>
        <v>91.717199999999465</v>
      </c>
      <c r="F597" s="30">
        <f t="shared" si="55"/>
        <v>46.999035976180394</v>
      </c>
    </row>
    <row r="598" spans="1:6">
      <c r="A598" s="30">
        <f t="shared" si="58"/>
        <v>1.8378317023500423</v>
      </c>
      <c r="B598">
        <f t="shared" si="54"/>
        <v>-0.1974756043791539</v>
      </c>
      <c r="C598" s="30">
        <f t="shared" si="56"/>
        <v>0.1974756043791539</v>
      </c>
      <c r="D598" s="30">
        <f t="shared" si="57"/>
        <v>1.8378317023500423</v>
      </c>
      <c r="E598" s="30">
        <f t="shared" si="59"/>
        <v>91.874249999999464</v>
      </c>
      <c r="F598" s="30">
        <f t="shared" si="55"/>
        <v>47.000720457500201</v>
      </c>
    </row>
    <row r="599" spans="1:6">
      <c r="A599" s="30">
        <f t="shared" si="58"/>
        <v>1.8409732950036322</v>
      </c>
      <c r="B599">
        <f t="shared" si="54"/>
        <v>-0.19961652155652915</v>
      </c>
      <c r="C599" s="30">
        <f t="shared" si="56"/>
        <v>0.19961652155652915</v>
      </c>
      <c r="D599" s="30">
        <f t="shared" si="57"/>
        <v>1.8409732950036322</v>
      </c>
      <c r="E599" s="30">
        <f t="shared" si="59"/>
        <v>92.031299999999462</v>
      </c>
      <c r="F599" s="30">
        <f t="shared" si="55"/>
        <v>47.002421935707467</v>
      </c>
    </row>
    <row r="600" spans="1:6">
      <c r="A600" s="30">
        <f t="shared" si="58"/>
        <v>1.844114887657222</v>
      </c>
      <c r="B600">
        <f t="shared" si="54"/>
        <v>-0.2017496159045773</v>
      </c>
      <c r="C600" s="30">
        <f t="shared" si="56"/>
        <v>0.2017496159045773</v>
      </c>
      <c r="D600" s="30">
        <f t="shared" si="57"/>
        <v>1.844114887657222</v>
      </c>
      <c r="E600" s="30">
        <f t="shared" si="59"/>
        <v>92.18834999999946</v>
      </c>
      <c r="F600" s="30">
        <f t="shared" si="55"/>
        <v>47.004140343630759</v>
      </c>
    </row>
    <row r="601" spans="1:6">
      <c r="A601" s="30">
        <f t="shared" si="58"/>
        <v>1.8472564803108118</v>
      </c>
      <c r="B601">
        <f t="shared" si="54"/>
        <v>-0.20387497209778943</v>
      </c>
      <c r="C601" s="30">
        <f t="shared" si="56"/>
        <v>0.20387497209778943</v>
      </c>
      <c r="D601" s="30">
        <f t="shared" si="57"/>
        <v>1.8472564803108118</v>
      </c>
      <c r="E601" s="30">
        <f t="shared" si="59"/>
        <v>92.345399999999458</v>
      </c>
      <c r="F601" s="30">
        <f t="shared" si="55"/>
        <v>47.005875613430277</v>
      </c>
    </row>
    <row r="602" spans="1:6">
      <c r="A602" s="30">
        <f t="shared" si="58"/>
        <v>1.8503980729644016</v>
      </c>
      <c r="B602">
        <f t="shared" si="54"/>
        <v>-0.20599267389303244</v>
      </c>
      <c r="C602" s="30">
        <f t="shared" si="56"/>
        <v>0.20599267389303244</v>
      </c>
      <c r="D602" s="30">
        <f t="shared" si="57"/>
        <v>1.8503980729644016</v>
      </c>
      <c r="E602" s="30">
        <f t="shared" si="59"/>
        <v>92.502449999999456</v>
      </c>
      <c r="F602" s="30">
        <f t="shared" si="55"/>
        <v>47.007627676600528</v>
      </c>
    </row>
    <row r="603" spans="1:6">
      <c r="A603" s="30">
        <f t="shared" si="58"/>
        <v>1.8535396656179914</v>
      </c>
      <c r="B603">
        <f t="shared" si="54"/>
        <v>-0.20810280414385413</v>
      </c>
      <c r="C603" s="30">
        <f t="shared" si="56"/>
        <v>0.20810280414385413</v>
      </c>
      <c r="D603" s="30">
        <f t="shared" si="57"/>
        <v>1.8535396656179914</v>
      </c>
      <c r="E603" s="30">
        <f t="shared" si="59"/>
        <v>92.659499999999454</v>
      </c>
      <c r="F603" s="30">
        <f t="shared" si="55"/>
        <v>47.009396463973069</v>
      </c>
    </row>
    <row r="604" spans="1:6">
      <c r="A604" s="30">
        <f t="shared" si="58"/>
        <v>1.8566812582715813</v>
      </c>
      <c r="B604">
        <f t="shared" si="54"/>
        <v>-0.21020544481454057</v>
      </c>
      <c r="C604" s="30">
        <f t="shared" si="56"/>
        <v>0.21020544481454057</v>
      </c>
      <c r="D604" s="30">
        <f t="shared" si="57"/>
        <v>1.8566812582715813</v>
      </c>
      <c r="E604" s="30">
        <f t="shared" si="59"/>
        <v>92.816549999999452</v>
      </c>
      <c r="F604" s="30">
        <f t="shared" si="55"/>
        <v>47.011181905719198</v>
      </c>
    </row>
    <row r="605" spans="1:6">
      <c r="A605" s="30">
        <f t="shared" si="58"/>
        <v>1.8598228509251711</v>
      </c>
      <c r="B605">
        <f t="shared" si="54"/>
        <v>-0.2123006769939304</v>
      </c>
      <c r="C605" s="30">
        <f t="shared" si="56"/>
        <v>0.2123006769939304</v>
      </c>
      <c r="D605" s="30">
        <f t="shared" si="57"/>
        <v>1.8598228509251711</v>
      </c>
      <c r="E605" s="30">
        <f t="shared" si="59"/>
        <v>92.97359999999945</v>
      </c>
      <c r="F605" s="30">
        <f t="shared" si="55"/>
        <v>47.012983931352728</v>
      </c>
    </row>
    <row r="606" spans="1:6">
      <c r="A606" s="30">
        <f t="shared" si="58"/>
        <v>1.8629644435787609</v>
      </c>
      <c r="B606">
        <f t="shared" si="54"/>
        <v>-0.21438858090898943</v>
      </c>
      <c r="C606" s="30">
        <f t="shared" si="56"/>
        <v>0.21438858090898943</v>
      </c>
      <c r="D606" s="30">
        <f t="shared" si="57"/>
        <v>1.8629644435787609</v>
      </c>
      <c r="E606" s="30">
        <f t="shared" si="59"/>
        <v>93.130649999999449</v>
      </c>
      <c r="F606" s="30">
        <f t="shared" si="55"/>
        <v>47.014802469732786</v>
      </c>
    </row>
    <row r="607" spans="1:6">
      <c r="A607" s="30">
        <f t="shared" si="58"/>
        <v>1.8661060362323507</v>
      </c>
      <c r="B607">
        <f t="shared" si="54"/>
        <v>-0.21646923593815226</v>
      </c>
      <c r="C607" s="30">
        <f t="shared" si="56"/>
        <v>0.21646923593815226</v>
      </c>
      <c r="D607" s="30">
        <f t="shared" si="57"/>
        <v>1.8661060362323507</v>
      </c>
      <c r="E607" s="30">
        <f t="shared" si="59"/>
        <v>93.287699999999447</v>
      </c>
      <c r="F607" s="30">
        <f t="shared" si="55"/>
        <v>47.016637449066579</v>
      </c>
    </row>
    <row r="608" spans="1:6">
      <c r="A608" s="30">
        <f t="shared" si="58"/>
        <v>1.8692476288859405</v>
      </c>
      <c r="B608">
        <f t="shared" si="54"/>
        <v>-0.21854272062443575</v>
      </c>
      <c r="C608" s="30">
        <f t="shared" si="56"/>
        <v>0.21854272062443575</v>
      </c>
      <c r="D608" s="30">
        <f t="shared" si="57"/>
        <v>1.8692476288859405</v>
      </c>
      <c r="E608" s="30">
        <f t="shared" si="59"/>
        <v>93.444749999999445</v>
      </c>
      <c r="F608" s="30">
        <f t="shared" si="55"/>
        <v>47.018488796912266</v>
      </c>
    </row>
    <row r="609" spans="1:6">
      <c r="A609" s="30">
        <f t="shared" si="58"/>
        <v>1.8723892215395304</v>
      </c>
      <c r="B609">
        <f t="shared" si="54"/>
        <v>-0.22060911268832972</v>
      </c>
      <c r="C609" s="30">
        <f t="shared" si="56"/>
        <v>0.22060911268832972</v>
      </c>
      <c r="D609" s="30">
        <f t="shared" si="57"/>
        <v>1.8723892215395304</v>
      </c>
      <c r="E609" s="30">
        <f t="shared" si="59"/>
        <v>93.601799999999443</v>
      </c>
      <c r="F609" s="30">
        <f t="shared" si="55"/>
        <v>47.020356440181807</v>
      </c>
    </row>
    <row r="610" spans="1:6">
      <c r="A610" s="30">
        <f t="shared" si="58"/>
        <v>1.8755308141931202</v>
      </c>
      <c r="B610">
        <f t="shared" si="54"/>
        <v>-0.22266848904046677</v>
      </c>
      <c r="C610" s="30">
        <f t="shared" si="56"/>
        <v>0.22266848904046677</v>
      </c>
      <c r="D610" s="30">
        <f t="shared" si="57"/>
        <v>1.8755308141931202</v>
      </c>
      <c r="E610" s="30">
        <f t="shared" si="59"/>
        <v>93.758849999999441</v>
      </c>
      <c r="F610" s="30">
        <f t="shared" si="55"/>
        <v>47.022240305143846</v>
      </c>
    </row>
    <row r="611" spans="1:6">
      <c r="A611" s="30">
        <f t="shared" si="58"/>
        <v>1.87867240684671</v>
      </c>
      <c r="B611">
        <f t="shared" si="54"/>
        <v>-0.22472092579407732</v>
      </c>
      <c r="C611" s="30">
        <f t="shared" si="56"/>
        <v>0.22472092579407732</v>
      </c>
      <c r="D611" s="30">
        <f t="shared" si="57"/>
        <v>1.87867240684671</v>
      </c>
      <c r="E611" s="30">
        <f t="shared" si="59"/>
        <v>93.915899999999439</v>
      </c>
      <c r="F611" s="30">
        <f t="shared" si="55"/>
        <v>47.024140317426614</v>
      </c>
    </row>
    <row r="612" spans="1:6">
      <c r="A612" s="30">
        <f t="shared" si="58"/>
        <v>1.8818139995002998</v>
      </c>
      <c r="B612">
        <f t="shared" si="54"/>
        <v>-0.22676649827723644</v>
      </c>
      <c r="C612" s="30">
        <f t="shared" si="56"/>
        <v>0.22676649827723644</v>
      </c>
      <c r="D612" s="30">
        <f t="shared" si="57"/>
        <v>1.8818139995002998</v>
      </c>
      <c r="E612" s="30">
        <f t="shared" si="59"/>
        <v>94.072949999999437</v>
      </c>
      <c r="F612" s="30">
        <f t="shared" si="55"/>
        <v>47.026056402020885</v>
      </c>
    </row>
    <row r="613" spans="1:6">
      <c r="A613" s="30">
        <f t="shared" si="58"/>
        <v>1.8849555921538896</v>
      </c>
      <c r="B613">
        <f t="shared" si="54"/>
        <v>-0.22880528104490372</v>
      </c>
      <c r="C613" s="30">
        <f t="shared" si="56"/>
        <v>0.22880528104490372</v>
      </c>
      <c r="D613" s="30">
        <f t="shared" si="57"/>
        <v>1.8849555921538896</v>
      </c>
      <c r="E613" s="30">
        <f t="shared" si="59"/>
        <v>94.229999999999436</v>
      </c>
      <c r="F613" s="30">
        <f t="shared" si="55"/>
        <v>47.027988483282918</v>
      </c>
    </row>
    <row r="614" spans="1:6">
      <c r="A614" s="30">
        <f t="shared" si="58"/>
        <v>1.8880971848074795</v>
      </c>
      <c r="B614">
        <f t="shared" si="54"/>
        <v>-0.23083734789076138</v>
      </c>
      <c r="C614" s="30">
        <f t="shared" si="56"/>
        <v>0.23083734789076138</v>
      </c>
      <c r="D614" s="30">
        <f t="shared" si="57"/>
        <v>1.8880971848074795</v>
      </c>
      <c r="E614" s="30">
        <f t="shared" si="59"/>
        <v>94.387049999999434</v>
      </c>
      <c r="F614" s="30">
        <f t="shared" si="55"/>
        <v>47.029936484937451</v>
      </c>
    </row>
    <row r="615" spans="1:6">
      <c r="A615" s="30">
        <f t="shared" si="58"/>
        <v>1.8912387774610693</v>
      </c>
      <c r="B615">
        <f t="shared" si="54"/>
        <v>-0.23286277185885396</v>
      </c>
      <c r="C615" s="30">
        <f t="shared" si="56"/>
        <v>0.23286277185885396</v>
      </c>
      <c r="D615" s="30">
        <f t="shared" si="57"/>
        <v>1.8912387774610693</v>
      </c>
      <c r="E615" s="30">
        <f t="shared" si="59"/>
        <v>94.544099999999432</v>
      </c>
      <c r="F615" s="30">
        <f t="shared" si="55"/>
        <v>47.03190033008071</v>
      </c>
    </row>
    <row r="616" spans="1:6">
      <c r="A616" s="30">
        <f t="shared" si="58"/>
        <v>1.8943803701146591</v>
      </c>
      <c r="B616">
        <f t="shared" si="54"/>
        <v>-0.23488162525503631</v>
      </c>
      <c r="C616" s="30">
        <f t="shared" si="56"/>
        <v>0.23488162525503631</v>
      </c>
      <c r="D616" s="30">
        <f t="shared" si="57"/>
        <v>1.8943803701146591</v>
      </c>
      <c r="E616" s="30">
        <f t="shared" si="59"/>
        <v>94.70114999999943</v>
      </c>
      <c r="F616" s="30">
        <f t="shared" si="55"/>
        <v>47.033879941183464</v>
      </c>
    </row>
    <row r="617" spans="1:6">
      <c r="A617" s="30">
        <f t="shared" si="58"/>
        <v>1.8975219627682489</v>
      </c>
      <c r="B617">
        <f t="shared" si="54"/>
        <v>-0.23689397965823195</v>
      </c>
      <c r="C617" s="30">
        <f t="shared" si="56"/>
        <v>0.23689397965823195</v>
      </c>
      <c r="D617" s="30">
        <f t="shared" si="57"/>
        <v>1.8975219627682489</v>
      </c>
      <c r="E617" s="30">
        <f t="shared" si="59"/>
        <v>94.858199999999428</v>
      </c>
      <c r="F617" s="30">
        <f t="shared" si="55"/>
        <v>47.03587524009405</v>
      </c>
    </row>
    <row r="618" spans="1:6">
      <c r="A618" s="30">
        <f t="shared" si="58"/>
        <v>1.9006635554218387</v>
      </c>
      <c r="B618">
        <f t="shared" si="54"/>
        <v>-0.23889990593150412</v>
      </c>
      <c r="C618" s="30">
        <f t="shared" si="56"/>
        <v>0.23889990593150412</v>
      </c>
      <c r="D618" s="30">
        <f t="shared" si="57"/>
        <v>1.9006635554218387</v>
      </c>
      <c r="E618" s="30">
        <f t="shared" si="59"/>
        <v>95.015249999999426</v>
      </c>
      <c r="F618" s="30">
        <f t="shared" si="55"/>
        <v>47.03788614804148</v>
      </c>
    </row>
    <row r="619" spans="1:6">
      <c r="A619" s="30">
        <f t="shared" si="58"/>
        <v>1.9038051480754286</v>
      </c>
      <c r="B619">
        <f t="shared" si="54"/>
        <v>-0.24089947423294533</v>
      </c>
      <c r="C619" s="30">
        <f t="shared" si="56"/>
        <v>0.24089947423294533</v>
      </c>
      <c r="D619" s="30">
        <f t="shared" si="57"/>
        <v>1.9038051480754286</v>
      </c>
      <c r="E619" s="30">
        <f t="shared" si="59"/>
        <v>95.172299999999424</v>
      </c>
      <c r="F619" s="30">
        <f t="shared" si="55"/>
        <v>47.039912585638554</v>
      </c>
    </row>
    <row r="620" spans="1:6">
      <c r="A620" s="30">
        <f t="shared" si="58"/>
        <v>1.9069467407290184</v>
      </c>
      <c r="B620">
        <f t="shared" si="54"/>
        <v>-0.2428927540263896</v>
      </c>
      <c r="C620" s="30">
        <f t="shared" si="56"/>
        <v>0.2428927540263896</v>
      </c>
      <c r="D620" s="30">
        <f t="shared" si="57"/>
        <v>1.9069467407290184</v>
      </c>
      <c r="E620" s="30">
        <f t="shared" si="59"/>
        <v>95.329349999999422</v>
      </c>
      <c r="F620" s="30">
        <f t="shared" si="55"/>
        <v>47.041954472884989</v>
      </c>
    </row>
    <row r="621" spans="1:6">
      <c r="A621" s="30">
        <f t="shared" si="58"/>
        <v>1.9100883333826082</v>
      </c>
      <c r="B621">
        <f t="shared" si="54"/>
        <v>-0.24487981409195014</v>
      </c>
      <c r="C621" s="30">
        <f t="shared" si="56"/>
        <v>0.24487981409195014</v>
      </c>
      <c r="D621" s="30">
        <f t="shared" si="57"/>
        <v>1.9100883333826082</v>
      </c>
      <c r="E621" s="30">
        <f t="shared" si="59"/>
        <v>95.486399999999421</v>
      </c>
      <c r="F621" s="30">
        <f t="shared" si="55"/>
        <v>47.044011729170563</v>
      </c>
    </row>
    <row r="622" spans="1:6">
      <c r="A622" s="30">
        <f t="shared" si="58"/>
        <v>1.913229926036198</v>
      </c>
      <c r="B622">
        <f t="shared" si="54"/>
        <v>-0.2468607225363848</v>
      </c>
      <c r="C622" s="30">
        <f t="shared" si="56"/>
        <v>0.2468607225363848</v>
      </c>
      <c r="D622" s="30">
        <f t="shared" si="57"/>
        <v>1.913229926036198</v>
      </c>
      <c r="E622" s="30">
        <f t="shared" si="59"/>
        <v>95.643449999999419</v>
      </c>
      <c r="F622" s="30">
        <f t="shared" si="55"/>
        <v>47.046084273278332</v>
      </c>
    </row>
    <row r="623" spans="1:6">
      <c r="A623" s="30">
        <f t="shared" si="58"/>
        <v>1.9163715186897878</v>
      </c>
      <c r="B623">
        <f t="shared" si="54"/>
        <v>-0.24883554680329339</v>
      </c>
      <c r="C623" s="30">
        <f t="shared" si="56"/>
        <v>0.24883554680329339</v>
      </c>
      <c r="D623" s="30">
        <f t="shared" si="57"/>
        <v>1.9163715186897878</v>
      </c>
      <c r="E623" s="30">
        <f t="shared" si="59"/>
        <v>95.800499999999417</v>
      </c>
      <c r="F623" s="30">
        <f t="shared" si="55"/>
        <v>47.048172023387799</v>
      </c>
    </row>
    <row r="624" spans="1:6">
      <c r="A624" s="30">
        <f t="shared" si="58"/>
        <v>1.9195131113433777</v>
      </c>
      <c r="B624">
        <f t="shared" si="54"/>
        <v>-0.25080435368315246</v>
      </c>
      <c r="C624" s="30">
        <f t="shared" si="56"/>
        <v>0.25080435368315246</v>
      </c>
      <c r="D624" s="30">
        <f t="shared" si="57"/>
        <v>1.9195131113433777</v>
      </c>
      <c r="E624" s="30">
        <f t="shared" si="59"/>
        <v>95.957549999999415</v>
      </c>
      <c r="F624" s="30">
        <f t="shared" si="55"/>
        <v>47.050274897078161</v>
      </c>
    </row>
    <row r="625" spans="1:6">
      <c r="A625" s="30">
        <f t="shared" si="58"/>
        <v>1.9226547039969675</v>
      </c>
      <c r="B625">
        <f t="shared" si="54"/>
        <v>-0.2527672093231883</v>
      </c>
      <c r="C625" s="30">
        <f t="shared" si="56"/>
        <v>0.2527672093231883</v>
      </c>
      <c r="D625" s="30">
        <f t="shared" si="57"/>
        <v>1.9226547039969675</v>
      </c>
      <c r="E625" s="30">
        <f t="shared" si="59"/>
        <v>96.114599999999413</v>
      </c>
      <c r="F625" s="30">
        <f t="shared" si="55"/>
        <v>47.052392811331565</v>
      </c>
    </row>
    <row r="626" spans="1:6">
      <c r="A626" s="30">
        <f t="shared" si="58"/>
        <v>1.9257962966505573</v>
      </c>
      <c r="B626">
        <f t="shared" si="54"/>
        <v>-0.25472417923709162</v>
      </c>
      <c r="C626" s="30">
        <f t="shared" si="56"/>
        <v>0.25472417923709162</v>
      </c>
      <c r="D626" s="30">
        <f t="shared" si="57"/>
        <v>1.9257962966505573</v>
      </c>
      <c r="E626" s="30">
        <f t="shared" si="59"/>
        <v>96.271649999999411</v>
      </c>
      <c r="F626" s="30">
        <f t="shared" si="55"/>
        <v>47.054525682536394</v>
      </c>
    </row>
    <row r="627" spans="1:6">
      <c r="A627" s="30">
        <f t="shared" si="58"/>
        <v>1.9289378893041471</v>
      </c>
      <c r="B627">
        <f t="shared" si="54"/>
        <v>-0.25667532831457707</v>
      </c>
      <c r="C627" s="30">
        <f t="shared" si="56"/>
        <v>0.25667532831457707</v>
      </c>
      <c r="D627" s="30">
        <f t="shared" si="57"/>
        <v>1.9289378893041471</v>
      </c>
      <c r="E627" s="30">
        <f t="shared" si="59"/>
        <v>96.428699999999409</v>
      </c>
      <c r="F627" s="30">
        <f t="shared" si="55"/>
        <v>47.056673426490534</v>
      </c>
    </row>
    <row r="628" spans="1:6">
      <c r="A628" s="30">
        <f t="shared" si="58"/>
        <v>1.9320794819577369</v>
      </c>
      <c r="B628">
        <f t="shared" si="54"/>
        <v>-0.25862072083079279</v>
      </c>
      <c r="C628" s="30">
        <f t="shared" si="56"/>
        <v>0.25862072083079279</v>
      </c>
      <c r="D628" s="30">
        <f t="shared" si="57"/>
        <v>1.9320794819577369</v>
      </c>
      <c r="E628" s="30">
        <f t="shared" si="59"/>
        <v>96.585749999999408</v>
      </c>
      <c r="F628" s="30">
        <f t="shared" si="55"/>
        <v>47.058835958404735</v>
      </c>
    </row>
    <row r="629" spans="1:6">
      <c r="A629" s="30">
        <f t="shared" si="58"/>
        <v>1.9352210746113268</v>
      </c>
      <c r="B629">
        <f t="shared" si="54"/>
        <v>-0.26056042045557981</v>
      </c>
      <c r="C629" s="30">
        <f t="shared" si="56"/>
        <v>0.26056042045557981</v>
      </c>
      <c r="D629" s="30">
        <f t="shared" si="57"/>
        <v>1.9352210746113268</v>
      </c>
      <c r="E629" s="30">
        <f t="shared" si="59"/>
        <v>96.742799999999406</v>
      </c>
      <c r="F629" s="30">
        <f t="shared" si="55"/>
        <v>47.061013192905932</v>
      </c>
    </row>
    <row r="630" spans="1:6">
      <c r="A630" s="30">
        <f t="shared" si="58"/>
        <v>1.9383626672649166</v>
      </c>
      <c r="B630">
        <f t="shared" si="54"/>
        <v>-0.26249449026258759</v>
      </c>
      <c r="C630" s="30">
        <f t="shared" si="56"/>
        <v>0.26249449026258759</v>
      </c>
      <c r="D630" s="30">
        <f t="shared" si="57"/>
        <v>1.9383626672649166</v>
      </c>
      <c r="E630" s="30">
        <f t="shared" si="59"/>
        <v>96.899849999999404</v>
      </c>
      <c r="F630" s="30">
        <f t="shared" si="55"/>
        <v>47.06320504404065</v>
      </c>
    </row>
    <row r="631" spans="1:6">
      <c r="A631" s="30">
        <f t="shared" si="58"/>
        <v>1.9415042599185064</v>
      </c>
      <c r="B631">
        <f t="shared" si="54"/>
        <v>-0.26442299273824366</v>
      </c>
      <c r="C631" s="30">
        <f t="shared" si="56"/>
        <v>0.26442299273824366</v>
      </c>
      <c r="D631" s="30">
        <f t="shared" si="57"/>
        <v>1.9415042599185064</v>
      </c>
      <c r="E631" s="30">
        <f t="shared" si="59"/>
        <v>97.056899999999402</v>
      </c>
      <c r="F631" s="30">
        <f t="shared" si="55"/>
        <v>47.065411425278349</v>
      </c>
    </row>
    <row r="632" spans="1:6">
      <c r="A632" s="30">
        <f t="shared" si="58"/>
        <v>1.9446458525720962</v>
      </c>
      <c r="B632">
        <f t="shared" si="54"/>
        <v>-0.2663459897905861</v>
      </c>
      <c r="C632" s="30">
        <f t="shared" si="56"/>
        <v>0.2663459897905861</v>
      </c>
      <c r="D632" s="30">
        <f t="shared" si="57"/>
        <v>1.9446458525720962</v>
      </c>
      <c r="E632" s="30">
        <f t="shared" si="59"/>
        <v>97.2139499999994</v>
      </c>
      <c r="F632" s="30">
        <f t="shared" si="55"/>
        <v>47.06763224951488</v>
      </c>
    </row>
    <row r="633" spans="1:6">
      <c r="A633" s="30">
        <f t="shared" si="58"/>
        <v>1.947787445225686</v>
      </c>
      <c r="B633">
        <f t="shared" si="54"/>
        <v>-0.26826354275795905</v>
      </c>
      <c r="C633" s="30">
        <f t="shared" si="56"/>
        <v>0.26826354275795905</v>
      </c>
      <c r="D633" s="30">
        <f t="shared" si="57"/>
        <v>1.947787445225686</v>
      </c>
      <c r="E633" s="30">
        <f t="shared" si="59"/>
        <v>97.370999999999398</v>
      </c>
      <c r="F633" s="30">
        <f t="shared" si="55"/>
        <v>47.069867429075899</v>
      </c>
    </row>
    <row r="634" spans="1:6">
      <c r="A634" s="30">
        <f t="shared" si="58"/>
        <v>1.9509290378792759</v>
      </c>
      <c r="B634">
        <f t="shared" si="54"/>
        <v>-0.27017571241757099</v>
      </c>
      <c r="C634" s="30">
        <f t="shared" si="56"/>
        <v>0.27017571241757099</v>
      </c>
      <c r="D634" s="30">
        <f t="shared" si="57"/>
        <v>1.9509290378792759</v>
      </c>
      <c r="E634" s="30">
        <f t="shared" si="59"/>
        <v>97.528049999999396</v>
      </c>
      <c r="F634" s="30">
        <f t="shared" si="55"/>
        <v>47.072116875720347</v>
      </c>
    </row>
    <row r="635" spans="1:6">
      <c r="A635" s="30">
        <f t="shared" si="58"/>
        <v>1.9540706305328657</v>
      </c>
      <c r="B635">
        <f t="shared" si="54"/>
        <v>-0.27208255899392325</v>
      </c>
      <c r="C635" s="30">
        <f t="shared" si="56"/>
        <v>0.27208255899392325</v>
      </c>
      <c r="D635" s="30">
        <f t="shared" si="57"/>
        <v>1.9540706305328657</v>
      </c>
      <c r="E635" s="30">
        <f t="shared" si="59"/>
        <v>97.685099999999395</v>
      </c>
      <c r="F635" s="30">
        <f t="shared" si="55"/>
        <v>47.074380500643926</v>
      </c>
    </row>
    <row r="636" spans="1:6">
      <c r="A636" s="30">
        <f t="shared" si="58"/>
        <v>1.9572122231864555</v>
      </c>
      <c r="B636">
        <f t="shared" si="54"/>
        <v>-0.27398414216710842</v>
      </c>
      <c r="C636" s="30">
        <f t="shared" si="56"/>
        <v>0.27398414216710842</v>
      </c>
      <c r="D636" s="30">
        <f t="shared" si="57"/>
        <v>1.9572122231864555</v>
      </c>
      <c r="E636" s="30">
        <f t="shared" si="59"/>
        <v>97.842149999999393</v>
      </c>
      <c r="F636" s="30">
        <f t="shared" si="55"/>
        <v>47.076658214482592</v>
      </c>
    </row>
    <row r="637" spans="1:6">
      <c r="A637" s="30">
        <f t="shared" si="58"/>
        <v>1.9603538158400453</v>
      </c>
      <c r="B637">
        <f t="shared" si="54"/>
        <v>-0.27588052108098327</v>
      </c>
      <c r="C637" s="30">
        <f t="shared" si="56"/>
        <v>0.27588052108098327</v>
      </c>
      <c r="D637" s="30">
        <f t="shared" si="57"/>
        <v>1.9603538158400453</v>
      </c>
      <c r="E637" s="30">
        <f t="shared" si="59"/>
        <v>97.999199999999391</v>
      </c>
      <c r="F637" s="30">
        <f t="shared" si="55"/>
        <v>47.078949927316117</v>
      </c>
    </row>
    <row r="638" spans="1:6">
      <c r="A638" s="30">
        <f t="shared" si="58"/>
        <v>1.9634954084936351</v>
      </c>
      <c r="B638">
        <f t="shared" si="54"/>
        <v>-0.27777175435121587</v>
      </c>
      <c r="C638" s="30">
        <f t="shared" si="56"/>
        <v>0.27777175435121587</v>
      </c>
      <c r="D638" s="30">
        <f t="shared" si="57"/>
        <v>1.9634954084936351</v>
      </c>
      <c r="E638" s="30">
        <f t="shared" si="59"/>
        <v>98.156249999999389</v>
      </c>
      <c r="F638" s="30">
        <f t="shared" si="55"/>
        <v>47.081255548671585</v>
      </c>
    </row>
    <row r="639" spans="1:6">
      <c r="A639" s="30">
        <f t="shared" si="58"/>
        <v>1.966637001147225</v>
      </c>
      <c r="B639">
        <f t="shared" si="54"/>
        <v>-0.27965790007321079</v>
      </c>
      <c r="C639" s="30">
        <f t="shared" si="56"/>
        <v>0.27965790007321079</v>
      </c>
      <c r="D639" s="30">
        <f t="shared" si="57"/>
        <v>1.966637001147225</v>
      </c>
      <c r="E639" s="30">
        <f t="shared" si="59"/>
        <v>98.313299999999387</v>
      </c>
      <c r="F639" s="30">
        <f t="shared" si="55"/>
        <v>47.083574987527022</v>
      </c>
    </row>
    <row r="640" spans="1:6">
      <c r="A640" s="30">
        <f t="shared" si="58"/>
        <v>1.9697785938008148</v>
      </c>
      <c r="B640">
        <f t="shared" si="54"/>
        <v>-0.28153901582991581</v>
      </c>
      <c r="C640" s="30">
        <f t="shared" si="56"/>
        <v>0.28153901582991581</v>
      </c>
      <c r="D640" s="30">
        <f t="shared" si="57"/>
        <v>1.9697785938008148</v>
      </c>
      <c r="E640" s="30">
        <f t="shared" si="59"/>
        <v>98.470349999999385</v>
      </c>
      <c r="F640" s="30">
        <f t="shared" si="55"/>
        <v>47.08590815231495</v>
      </c>
    </row>
    <row r="641" spans="1:6">
      <c r="A641" s="30">
        <f t="shared" si="58"/>
        <v>1.9729201864544046</v>
      </c>
      <c r="B641">
        <f t="shared" si="54"/>
        <v>-0.28341515869951206</v>
      </c>
      <c r="C641" s="30">
        <f t="shared" si="56"/>
        <v>0.28341515869951206</v>
      </c>
      <c r="D641" s="30">
        <f t="shared" si="57"/>
        <v>1.9729201864544046</v>
      </c>
      <c r="E641" s="30">
        <f t="shared" si="59"/>
        <v>98.627399999999383</v>
      </c>
      <c r="F641" s="30">
        <f t="shared" si="55"/>
        <v>47.088254950926029</v>
      </c>
    </row>
    <row r="642" spans="1:6">
      <c r="A642" s="30">
        <f t="shared" si="58"/>
        <v>1.9760617791079944</v>
      </c>
      <c r="B642">
        <f t="shared" si="54"/>
        <v>-0.28528638526298727</v>
      </c>
      <c r="C642" s="30">
        <f t="shared" si="56"/>
        <v>0.28528638526298727</v>
      </c>
      <c r="D642" s="30">
        <f t="shared" si="57"/>
        <v>1.9760617791079944</v>
      </c>
      <c r="E642" s="30">
        <f t="shared" si="59"/>
        <v>98.784449999999381</v>
      </c>
      <c r="F642" s="30">
        <f t="shared" si="55"/>
        <v>47.090615290712648</v>
      </c>
    </row>
    <row r="643" spans="1:6">
      <c r="A643" s="30">
        <f t="shared" si="58"/>
        <v>1.9792033717615842</v>
      </c>
      <c r="B643">
        <f t="shared" si="54"/>
        <v>-0.28715275161159753</v>
      </c>
      <c r="C643" s="30">
        <f t="shared" si="56"/>
        <v>0.28715275161159753</v>
      </c>
      <c r="D643" s="30">
        <f t="shared" si="57"/>
        <v>1.9792033717615842</v>
      </c>
      <c r="E643" s="30">
        <f t="shared" si="59"/>
        <v>98.94149999999938</v>
      </c>
      <c r="F643" s="30">
        <f t="shared" si="55"/>
        <v>47.092989078492657</v>
      </c>
    </row>
    <row r="644" spans="1:6">
      <c r="A644" s="30">
        <f t="shared" si="58"/>
        <v>1.982344964415174</v>
      </c>
      <c r="B644">
        <f t="shared" si="54"/>
        <v>-0.2890143133542184</v>
      </c>
      <c r="C644" s="30">
        <f t="shared" si="56"/>
        <v>0.2890143133542184</v>
      </c>
      <c r="D644" s="30">
        <f t="shared" si="57"/>
        <v>1.982344964415174</v>
      </c>
      <c r="E644" s="30">
        <f t="shared" si="59"/>
        <v>99.098549999999378</v>
      </c>
      <c r="F644" s="30">
        <f t="shared" si="55"/>
        <v>47.095376220552964</v>
      </c>
    </row>
    <row r="645" spans="1:6">
      <c r="A645" s="30">
        <f t="shared" si="58"/>
        <v>1.9854865570687639</v>
      </c>
      <c r="B645">
        <f t="shared" si="54"/>
        <v>-0.29087112562458833</v>
      </c>
      <c r="C645" s="30">
        <f t="shared" si="56"/>
        <v>0.29087112562458833</v>
      </c>
      <c r="D645" s="30">
        <f t="shared" si="57"/>
        <v>1.9854865570687639</v>
      </c>
      <c r="E645" s="30">
        <f t="shared" si="59"/>
        <v>99.255599999999376</v>
      </c>
      <c r="F645" s="30">
        <f t="shared" si="55"/>
        <v>47.097776622653285</v>
      </c>
    </row>
    <row r="646" spans="1:6">
      <c r="A646" s="30">
        <f t="shared" si="58"/>
        <v>1.9886281497223537</v>
      </c>
      <c r="B646">
        <f t="shared" si="54"/>
        <v>-0.29272324308844527</v>
      </c>
      <c r="C646" s="30">
        <f t="shared" si="56"/>
        <v>0.29272324308844527</v>
      </c>
      <c r="D646" s="30">
        <f t="shared" si="57"/>
        <v>1.9886281497223537</v>
      </c>
      <c r="E646" s="30">
        <f t="shared" si="59"/>
        <v>99.412649999999374</v>
      </c>
      <c r="F646" s="30">
        <f t="shared" si="55"/>
        <v>47.100190190029863</v>
      </c>
    </row>
    <row r="647" spans="1:6">
      <c r="A647" s="30">
        <f t="shared" si="58"/>
        <v>1.9917697423759435</v>
      </c>
      <c r="B647">
        <f t="shared" si="54"/>
        <v>-0.29457071995055828</v>
      </c>
      <c r="C647" s="30">
        <f t="shared" si="56"/>
        <v>0.29457071995055828</v>
      </c>
      <c r="D647" s="30">
        <f t="shared" si="57"/>
        <v>1.9917697423759435</v>
      </c>
      <c r="E647" s="30">
        <f t="shared" si="59"/>
        <v>99.569699999999372</v>
      </c>
      <c r="F647" s="30">
        <f t="shared" si="55"/>
        <v>47.102616827399196</v>
      </c>
    </row>
    <row r="648" spans="1:6">
      <c r="A648" s="30">
        <f t="shared" si="58"/>
        <v>1.9949113350295333</v>
      </c>
      <c r="B648">
        <f t="shared" si="54"/>
        <v>-0.29641360996165778</v>
      </c>
      <c r="C648" s="30">
        <f t="shared" si="56"/>
        <v>0.29641360996165778</v>
      </c>
      <c r="D648" s="30">
        <f t="shared" si="57"/>
        <v>1.9949113350295333</v>
      </c>
      <c r="E648" s="30">
        <f t="shared" si="59"/>
        <v>99.72674999999937</v>
      </c>
      <c r="F648" s="30">
        <f t="shared" si="55"/>
        <v>47.105056438961782</v>
      </c>
    </row>
    <row r="649" spans="1:6">
      <c r="A649" s="30">
        <f t="shared" si="58"/>
        <v>1.9980529276831231</v>
      </c>
      <c r="B649">
        <f t="shared" si="54"/>
        <v>-0.29825196642526713</v>
      </c>
      <c r="C649" s="30">
        <f t="shared" si="56"/>
        <v>0.29825196642526713</v>
      </c>
      <c r="D649" s="30">
        <f t="shared" si="57"/>
        <v>1.9980529276831231</v>
      </c>
      <c r="E649" s="30">
        <f t="shared" si="59"/>
        <v>99.883799999999368</v>
      </c>
      <c r="F649" s="30">
        <f t="shared" si="55"/>
        <v>47.107508928405949</v>
      </c>
    </row>
    <row r="650" spans="1:6">
      <c r="A650" s="30">
        <f t="shared" si="58"/>
        <v>2.0011945203367127</v>
      </c>
      <c r="B650">
        <f t="shared" si="54"/>
        <v>-0.30008584220443246</v>
      </c>
      <c r="C650" s="30">
        <f t="shared" si="56"/>
        <v>0.30008584220443246</v>
      </c>
      <c r="D650" s="30">
        <f t="shared" si="57"/>
        <v>2.0011945203367127</v>
      </c>
      <c r="E650" s="30">
        <f t="shared" si="59"/>
        <v>100.04084999999937</v>
      </c>
      <c r="F650" s="30">
        <f t="shared" si="55"/>
        <v>47.109974198911601</v>
      </c>
    </row>
    <row r="651" spans="1:6">
      <c r="A651" s="30">
        <f t="shared" si="58"/>
        <v>2.0043361129903023</v>
      </c>
      <c r="B651">
        <f t="shared" si="54"/>
        <v>-0.30191528972835946</v>
      </c>
      <c r="C651" s="30">
        <f t="shared" si="56"/>
        <v>0.30191528972835946</v>
      </c>
      <c r="D651" s="30">
        <f t="shared" si="57"/>
        <v>2.0043361129903023</v>
      </c>
      <c r="E651" s="30">
        <f t="shared" si="59"/>
        <v>100.19789999999936</v>
      </c>
      <c r="F651" s="30">
        <f t="shared" si="55"/>
        <v>47.112452153154081</v>
      </c>
    </row>
    <row r="652" spans="1:6">
      <c r="A652" s="30">
        <f t="shared" si="58"/>
        <v>2.0074777056438919</v>
      </c>
      <c r="B652">
        <f t="shared" si="54"/>
        <v>-0.30374036099895307</v>
      </c>
      <c r="C652" s="30">
        <f t="shared" si="56"/>
        <v>0.30374036099895307</v>
      </c>
      <c r="D652" s="30">
        <f t="shared" si="57"/>
        <v>2.0074777056438919</v>
      </c>
      <c r="E652" s="30">
        <f t="shared" si="59"/>
        <v>100.35494999999936</v>
      </c>
      <c r="F652" s="30">
        <f t="shared" si="55"/>
        <v>47.114942693308002</v>
      </c>
    </row>
    <row r="653" spans="1:6">
      <c r="A653" s="30">
        <f t="shared" si="58"/>
        <v>2.0106192982974815</v>
      </c>
      <c r="B653">
        <f t="shared" ref="B653:B716" si="60">$H$3*(SIN($H$4+A653)-SIN($H$5+A653))/(SIN($H$4+A653)-SIN(A653))-$H$6</f>
        <v>-0.3055611075972664</v>
      </c>
      <c r="C653" s="30">
        <f t="shared" si="56"/>
        <v>0.3055611075972664</v>
      </c>
      <c r="D653" s="30">
        <f t="shared" si="57"/>
        <v>2.0106192982974815</v>
      </c>
      <c r="E653" s="30">
        <f t="shared" si="59"/>
        <v>100.51199999999936</v>
      </c>
      <c r="F653" s="30">
        <f t="shared" ref="F653:F716" si="61">$M$5*SIN(2*PI()/$B$7*E653+$M$4)+$M$6</f>
        <v>47.117445721051098</v>
      </c>
    </row>
    <row r="654" spans="1:6">
      <c r="A654" s="30">
        <f t="shared" si="58"/>
        <v>2.0137608909510711</v>
      </c>
      <c r="B654">
        <f t="shared" si="60"/>
        <v>-0.30737758068985721</v>
      </c>
      <c r="C654" s="30">
        <f t="shared" ref="C654:C717" si="62">ABS(B654)</f>
        <v>0.30737758068985721</v>
      </c>
      <c r="D654" s="30">
        <f t="shared" ref="D654:D717" si="63">A654</f>
        <v>2.0137608909510711</v>
      </c>
      <c r="E654" s="30">
        <f t="shared" si="59"/>
        <v>100.66904999999936</v>
      </c>
      <c r="F654" s="30">
        <f t="shared" si="61"/>
        <v>47.119961137568133</v>
      </c>
    </row>
    <row r="655" spans="1:6">
      <c r="A655" s="30">
        <f t="shared" ref="A655:A718" si="64">A654+PI()/1000</f>
        <v>2.0169024836046607</v>
      </c>
      <c r="B655">
        <f t="shared" si="60"/>
        <v>-0.30918983103505654</v>
      </c>
      <c r="C655" s="30">
        <f t="shared" si="62"/>
        <v>0.30918983103505654</v>
      </c>
      <c r="D655" s="30">
        <f t="shared" si="63"/>
        <v>2.0169024836046607</v>
      </c>
      <c r="E655" s="30">
        <f t="shared" ref="E655:E718" si="65">E654+$B$7/1000</f>
        <v>100.82609999999936</v>
      </c>
      <c r="F655" s="30">
        <f t="shared" si="61"/>
        <v>47.122488843554756</v>
      </c>
    </row>
    <row r="656" spans="1:6">
      <c r="A656" s="30">
        <f t="shared" si="64"/>
        <v>2.0200440762582503</v>
      </c>
      <c r="B656">
        <f t="shared" si="60"/>
        <v>-0.31099790898914825</v>
      </c>
      <c r="C656" s="30">
        <f t="shared" si="62"/>
        <v>0.31099790898914825</v>
      </c>
      <c r="D656" s="30">
        <f t="shared" si="63"/>
        <v>2.0200440762582503</v>
      </c>
      <c r="E656" s="30">
        <f t="shared" si="65"/>
        <v>100.98314999999936</v>
      </c>
      <c r="F656" s="30">
        <f t="shared" si="61"/>
        <v>47.125028739221463</v>
      </c>
    </row>
    <row r="657" spans="1:6">
      <c r="A657" s="30">
        <f t="shared" si="64"/>
        <v>2.0231856689118399</v>
      </c>
      <c r="B657">
        <f t="shared" si="60"/>
        <v>-0.31280186451246439</v>
      </c>
      <c r="C657" s="30">
        <f t="shared" si="62"/>
        <v>0.31280186451246439</v>
      </c>
      <c r="D657" s="30">
        <f t="shared" si="63"/>
        <v>2.0231856689118399</v>
      </c>
      <c r="E657" s="30">
        <f t="shared" si="65"/>
        <v>101.14019999999935</v>
      </c>
      <c r="F657" s="30">
        <f t="shared" si="61"/>
        <v>47.12758072429753</v>
      </c>
    </row>
    <row r="658" spans="1:6">
      <c r="A658" s="30">
        <f t="shared" si="64"/>
        <v>2.0263272615654295</v>
      </c>
      <c r="B658">
        <f t="shared" si="60"/>
        <v>-0.31460174717539535</v>
      </c>
      <c r="C658" s="30">
        <f t="shared" si="62"/>
        <v>0.31460174717539535</v>
      </c>
      <c r="D658" s="30">
        <f t="shared" si="63"/>
        <v>2.0263272615654295</v>
      </c>
      <c r="E658" s="30">
        <f t="shared" si="65"/>
        <v>101.29724999999935</v>
      </c>
      <c r="F658" s="30">
        <f t="shared" si="61"/>
        <v>47.130144698034954</v>
      </c>
    </row>
    <row r="659" spans="1:6">
      <c r="A659" s="30">
        <f t="shared" si="64"/>
        <v>2.0294688542190191</v>
      </c>
      <c r="B659">
        <f t="shared" si="60"/>
        <v>-0.31639760616431728</v>
      </c>
      <c r="C659" s="30">
        <f t="shared" si="62"/>
        <v>0.31639760616431728</v>
      </c>
      <c r="D659" s="30">
        <f t="shared" si="63"/>
        <v>2.0294688542190191</v>
      </c>
      <c r="E659" s="30">
        <f t="shared" si="65"/>
        <v>101.45429999999935</v>
      </c>
      <c r="F659" s="30">
        <f t="shared" si="61"/>
        <v>47.132720559212437</v>
      </c>
    </row>
    <row r="660" spans="1:6">
      <c r="A660" s="30">
        <f t="shared" si="64"/>
        <v>2.0326104468726087</v>
      </c>
      <c r="B660">
        <f t="shared" si="60"/>
        <v>-0.31818949028743959</v>
      </c>
      <c r="C660" s="30">
        <f t="shared" si="62"/>
        <v>0.31818949028743959</v>
      </c>
      <c r="D660" s="30">
        <f t="shared" si="63"/>
        <v>2.0326104468726087</v>
      </c>
      <c r="E660" s="30">
        <f t="shared" si="65"/>
        <v>101.61134999999935</v>
      </c>
      <c r="F660" s="30">
        <f t="shared" si="61"/>
        <v>47.135308206139399</v>
      </c>
    </row>
    <row r="661" spans="1:6">
      <c r="A661" s="30">
        <f t="shared" si="64"/>
        <v>2.0357520395261983</v>
      </c>
      <c r="B661">
        <f t="shared" si="60"/>
        <v>-0.31997744798057171</v>
      </c>
      <c r="C661" s="30">
        <f t="shared" si="62"/>
        <v>0.31997744798057171</v>
      </c>
      <c r="D661" s="30">
        <f t="shared" si="63"/>
        <v>2.0357520395261983</v>
      </c>
      <c r="E661" s="30">
        <f t="shared" si="65"/>
        <v>101.76839999999935</v>
      </c>
      <c r="F661" s="30">
        <f t="shared" si="61"/>
        <v>47.137907536659959</v>
      </c>
    </row>
    <row r="662" spans="1:6">
      <c r="A662" s="30">
        <f t="shared" si="64"/>
        <v>2.0388936321797879</v>
      </c>
      <c r="B662">
        <f t="shared" si="60"/>
        <v>-0.32176152731281316</v>
      </c>
      <c r="C662" s="30">
        <f t="shared" si="62"/>
        <v>0.32176152731281316</v>
      </c>
      <c r="D662" s="30">
        <f t="shared" si="63"/>
        <v>2.0388936321797879</v>
      </c>
      <c r="E662" s="30">
        <f t="shared" si="65"/>
        <v>101.92544999999934</v>
      </c>
      <c r="F662" s="30">
        <f t="shared" si="61"/>
        <v>47.14051844815701</v>
      </c>
    </row>
    <row r="663" spans="1:6">
      <c r="A663" s="30">
        <f t="shared" si="64"/>
        <v>2.0420352248333775</v>
      </c>
      <c r="B663">
        <f t="shared" si="60"/>
        <v>-0.32354177599216583</v>
      </c>
      <c r="C663" s="30">
        <f t="shared" si="62"/>
        <v>0.32354177599216583</v>
      </c>
      <c r="D663" s="30">
        <f t="shared" si="63"/>
        <v>2.0420352248333775</v>
      </c>
      <c r="E663" s="30">
        <f t="shared" si="65"/>
        <v>102.08249999999934</v>
      </c>
      <c r="F663" s="30">
        <f t="shared" si="61"/>
        <v>47.143140837556231</v>
      </c>
    </row>
    <row r="664" spans="1:6">
      <c r="A664" s="30">
        <f t="shared" si="64"/>
        <v>2.0451768174869671</v>
      </c>
      <c r="B664">
        <f t="shared" si="60"/>
        <v>-0.32531824137107257</v>
      </c>
      <c r="C664" s="30">
        <f t="shared" si="62"/>
        <v>0.32531824137107257</v>
      </c>
      <c r="D664" s="30">
        <f t="shared" si="63"/>
        <v>2.0451768174869671</v>
      </c>
      <c r="E664" s="30">
        <f t="shared" si="65"/>
        <v>102.23954999999934</v>
      </c>
      <c r="F664" s="30">
        <f t="shared" si="61"/>
        <v>47.145774601330174</v>
      </c>
    </row>
    <row r="665" spans="1:6">
      <c r="A665" s="30">
        <f t="shared" si="64"/>
        <v>2.0483184101405567</v>
      </c>
      <c r="B665">
        <f t="shared" si="60"/>
        <v>-0.3270909704518814</v>
      </c>
      <c r="C665" s="30">
        <f t="shared" si="62"/>
        <v>0.3270909704518814</v>
      </c>
      <c r="D665" s="30">
        <f t="shared" si="63"/>
        <v>2.0483184101405567</v>
      </c>
      <c r="E665" s="30">
        <f t="shared" si="65"/>
        <v>102.39659999999934</v>
      </c>
      <c r="F665" s="30">
        <f t="shared" si="61"/>
        <v>47.148419635502364</v>
      </c>
    </row>
    <row r="666" spans="1:6">
      <c r="A666" s="30">
        <f t="shared" si="64"/>
        <v>2.0514600027941463</v>
      </c>
      <c r="B666">
        <f t="shared" si="60"/>
        <v>-0.32886000989223774</v>
      </c>
      <c r="C666" s="30">
        <f t="shared" si="62"/>
        <v>0.32886000989223774</v>
      </c>
      <c r="D666" s="30">
        <f t="shared" si="63"/>
        <v>2.0514600027941463</v>
      </c>
      <c r="E666" s="30">
        <f t="shared" si="65"/>
        <v>102.55364999999934</v>
      </c>
      <c r="F666" s="30">
        <f t="shared" si="61"/>
        <v>47.151075835651376</v>
      </c>
    </row>
    <row r="667" spans="1:6">
      <c r="A667" s="30">
        <f t="shared" si="64"/>
        <v>2.0546015954477359</v>
      </c>
      <c r="B667">
        <f t="shared" si="60"/>
        <v>-0.33062540601040635</v>
      </c>
      <c r="C667" s="30">
        <f t="shared" si="62"/>
        <v>0.33062540601040635</v>
      </c>
      <c r="D667" s="30">
        <f t="shared" si="63"/>
        <v>2.0546015954477359</v>
      </c>
      <c r="E667" s="30">
        <f t="shared" si="65"/>
        <v>102.71069999999933</v>
      </c>
      <c r="F667" s="30">
        <f t="shared" si="61"/>
        <v>47.15374309691498</v>
      </c>
    </row>
    <row r="668" spans="1:6">
      <c r="A668" s="30">
        <f t="shared" si="64"/>
        <v>2.0577431881013255</v>
      </c>
      <c r="B668">
        <f t="shared" si="60"/>
        <v>-0.33238720479052297</v>
      </c>
      <c r="C668" s="30">
        <f t="shared" si="62"/>
        <v>0.33238720479052297</v>
      </c>
      <c r="D668" s="30">
        <f t="shared" si="63"/>
        <v>2.0577431881013255</v>
      </c>
      <c r="E668" s="30">
        <f t="shared" si="65"/>
        <v>102.86774999999933</v>
      </c>
      <c r="F668" s="30">
        <f t="shared" si="61"/>
        <v>47.156421313994265</v>
      </c>
    </row>
    <row r="669" spans="1:6">
      <c r="A669" s="30">
        <f t="shared" si="64"/>
        <v>2.0608847807549151</v>
      </c>
      <c r="B669">
        <f t="shared" si="60"/>
        <v>-0.33414545188777833</v>
      </c>
      <c r="C669" s="30">
        <f t="shared" si="62"/>
        <v>0.33414545188777833</v>
      </c>
      <c r="D669" s="30">
        <f t="shared" si="63"/>
        <v>2.0608847807549151</v>
      </c>
      <c r="E669" s="30">
        <f t="shared" si="65"/>
        <v>103.02479999999933</v>
      </c>
      <c r="F669" s="30">
        <f t="shared" si="61"/>
        <v>47.159110381157802</v>
      </c>
    </row>
    <row r="670" spans="1:6">
      <c r="A670" s="30">
        <f t="shared" si="64"/>
        <v>2.0640263734085047</v>
      </c>
      <c r="B670">
        <f t="shared" si="60"/>
        <v>-0.3359001926335361</v>
      </c>
      <c r="C670" s="30">
        <f t="shared" si="62"/>
        <v>0.3359001926335361</v>
      </c>
      <c r="D670" s="30">
        <f t="shared" si="63"/>
        <v>2.0640263734085047</v>
      </c>
      <c r="E670" s="30">
        <f t="shared" si="65"/>
        <v>103.18184999999933</v>
      </c>
      <c r="F670" s="30">
        <f t="shared" si="61"/>
        <v>47.161810192245838</v>
      </c>
    </row>
    <row r="671" spans="1:6">
      <c r="A671" s="30">
        <f t="shared" si="64"/>
        <v>2.0671679660620943</v>
      </c>
      <c r="B671">
        <f t="shared" si="60"/>
        <v>-0.33765147204038376</v>
      </c>
      <c r="C671" s="30">
        <f t="shared" si="62"/>
        <v>0.33765147204038376</v>
      </c>
      <c r="D671" s="30">
        <f t="shared" si="63"/>
        <v>2.0671679660620943</v>
      </c>
      <c r="E671" s="30">
        <f t="shared" si="65"/>
        <v>103.33889999999933</v>
      </c>
      <c r="F671" s="30">
        <f t="shared" si="61"/>
        <v>47.164520640674439</v>
      </c>
    </row>
    <row r="672" spans="1:6">
      <c r="A672" s="30">
        <f t="shared" si="64"/>
        <v>2.0703095587156839</v>
      </c>
      <c r="B672">
        <f t="shared" si="60"/>
        <v>-0.33939933480712048</v>
      </c>
      <c r="C672" s="30">
        <f t="shared" si="62"/>
        <v>0.33939933480712048</v>
      </c>
      <c r="D672" s="30">
        <f t="shared" si="63"/>
        <v>2.0703095587156839</v>
      </c>
      <c r="E672" s="30">
        <f t="shared" si="65"/>
        <v>103.49594999999933</v>
      </c>
      <c r="F672" s="30">
        <f t="shared" si="61"/>
        <v>47.16724161943975</v>
      </c>
    </row>
    <row r="673" spans="1:6">
      <c r="A673" s="30">
        <f t="shared" si="64"/>
        <v>2.0734511513692735</v>
      </c>
      <c r="B673">
        <f t="shared" si="60"/>
        <v>-0.34114382532368148</v>
      </c>
      <c r="C673" s="30">
        <f t="shared" si="62"/>
        <v>0.34114382532368148</v>
      </c>
      <c r="D673" s="30">
        <f t="shared" si="63"/>
        <v>2.0734511513692735</v>
      </c>
      <c r="E673" s="30">
        <f t="shared" si="65"/>
        <v>103.65299999999932</v>
      </c>
      <c r="F673" s="30">
        <f t="shared" si="61"/>
        <v>47.169973021122182</v>
      </c>
    </row>
    <row r="674" spans="1:6">
      <c r="A674" s="30">
        <f t="shared" si="64"/>
        <v>2.0765927440228631</v>
      </c>
      <c r="B674">
        <f t="shared" si="60"/>
        <v>-0.34288498767600095</v>
      </c>
      <c r="C674" s="30">
        <f t="shared" si="62"/>
        <v>0.34288498767600095</v>
      </c>
      <c r="D674" s="30">
        <f t="shared" si="63"/>
        <v>2.0765927440228631</v>
      </c>
      <c r="E674" s="30">
        <f t="shared" si="65"/>
        <v>103.81004999999932</v>
      </c>
      <c r="F674" s="30">
        <f t="shared" si="61"/>
        <v>47.172714737890679</v>
      </c>
    </row>
    <row r="675" spans="1:6">
      <c r="A675" s="30">
        <f t="shared" si="64"/>
        <v>2.0797343366764527</v>
      </c>
      <c r="B675">
        <f t="shared" si="60"/>
        <v>-0.34462286565081346</v>
      </c>
      <c r="C675" s="30">
        <f t="shared" si="62"/>
        <v>0.34462286565081346</v>
      </c>
      <c r="D675" s="30">
        <f t="shared" si="63"/>
        <v>2.0797343366764527</v>
      </c>
      <c r="E675" s="30">
        <f t="shared" si="65"/>
        <v>103.96709999999932</v>
      </c>
      <c r="F675" s="30">
        <f t="shared" si="61"/>
        <v>47.17546666150696</v>
      </c>
    </row>
    <row r="676" spans="1:6">
      <c r="A676" s="30">
        <f t="shared" si="64"/>
        <v>2.0828759293300423</v>
      </c>
      <c r="B676">
        <f t="shared" si="60"/>
        <v>-0.34635750274039684</v>
      </c>
      <c r="C676" s="30">
        <f t="shared" si="62"/>
        <v>0.34635750274039684</v>
      </c>
      <c r="D676" s="30">
        <f t="shared" si="63"/>
        <v>2.0828759293300423</v>
      </c>
      <c r="E676" s="30">
        <f t="shared" si="65"/>
        <v>104.12414999999932</v>
      </c>
      <c r="F676" s="30">
        <f t="shared" si="61"/>
        <v>47.178228683329792</v>
      </c>
    </row>
    <row r="677" spans="1:6">
      <c r="A677" s="30">
        <f t="shared" si="64"/>
        <v>2.0860175219836319</v>
      </c>
      <c r="B677">
        <f t="shared" si="60"/>
        <v>-0.34808894214725672</v>
      </c>
      <c r="C677" s="30">
        <f t="shared" si="62"/>
        <v>0.34808894214725672</v>
      </c>
      <c r="D677" s="30">
        <f t="shared" si="63"/>
        <v>2.0860175219836319</v>
      </c>
      <c r="E677" s="30">
        <f t="shared" si="65"/>
        <v>104.28119999999932</v>
      </c>
      <c r="F677" s="30">
        <f t="shared" si="61"/>
        <v>47.181000694319273</v>
      </c>
    </row>
    <row r="678" spans="1:6">
      <c r="A678" s="30">
        <f t="shared" si="64"/>
        <v>2.0891591146372215</v>
      </c>
      <c r="B678">
        <f t="shared" si="60"/>
        <v>-0.34981722678875277</v>
      </c>
      <c r="C678" s="30">
        <f t="shared" si="62"/>
        <v>0.34981722678875277</v>
      </c>
      <c r="D678" s="30">
        <f t="shared" si="63"/>
        <v>2.0891591146372215</v>
      </c>
      <c r="E678" s="30">
        <f t="shared" si="65"/>
        <v>104.43824999999931</v>
      </c>
      <c r="F678" s="30">
        <f t="shared" si="61"/>
        <v>47.183782585041165</v>
      </c>
    </row>
    <row r="679" spans="1:6">
      <c r="A679" s="30">
        <f t="shared" si="64"/>
        <v>2.0923007072908111</v>
      </c>
      <c r="B679">
        <f t="shared" si="60"/>
        <v>-0.35154239930167031</v>
      </c>
      <c r="C679" s="30">
        <f t="shared" si="62"/>
        <v>0.35154239930167031</v>
      </c>
      <c r="D679" s="30">
        <f t="shared" si="63"/>
        <v>2.0923007072908111</v>
      </c>
      <c r="E679" s="30">
        <f t="shared" si="65"/>
        <v>104.59529999999931</v>
      </c>
      <c r="F679" s="30">
        <f t="shared" si="61"/>
        <v>47.186574245671189</v>
      </c>
    </row>
    <row r="680" spans="1:6">
      <c r="A680" s="30">
        <f t="shared" si="64"/>
        <v>2.0954422999444007</v>
      </c>
      <c r="B680">
        <f t="shared" si="60"/>
        <v>-0.35326450204673587</v>
      </c>
      <c r="C680" s="30">
        <f t="shared" si="62"/>
        <v>0.35326450204673587</v>
      </c>
      <c r="D680" s="30">
        <f t="shared" si="63"/>
        <v>2.0954422999444007</v>
      </c>
      <c r="E680" s="30">
        <f t="shared" si="65"/>
        <v>104.75234999999931</v>
      </c>
      <c r="F680" s="30">
        <f t="shared" si="61"/>
        <v>47.189375565999349</v>
      </c>
    </row>
    <row r="681" spans="1:6">
      <c r="A681" s="30">
        <f t="shared" si="64"/>
        <v>2.0985838925979903</v>
      </c>
      <c r="B681">
        <f t="shared" si="60"/>
        <v>-0.3549835771130791</v>
      </c>
      <c r="C681" s="30">
        <f t="shared" si="62"/>
        <v>0.3549835771130791</v>
      </c>
      <c r="D681" s="30">
        <f t="shared" si="63"/>
        <v>2.0985838925979903</v>
      </c>
      <c r="E681" s="30">
        <f t="shared" si="65"/>
        <v>104.90939999999931</v>
      </c>
      <c r="F681" s="30">
        <f t="shared" si="61"/>
        <v>47.19218643543433</v>
      </c>
    </row>
    <row r="682" spans="1:6">
      <c r="A682" s="30">
        <f t="shared" si="64"/>
        <v>2.1017254852515799</v>
      </c>
      <c r="B682">
        <f t="shared" si="60"/>
        <v>-0.35669966632264227</v>
      </c>
      <c r="C682" s="30">
        <f t="shared" si="62"/>
        <v>0.35669966632264227</v>
      </c>
      <c r="D682" s="30">
        <f t="shared" si="63"/>
        <v>2.1017254852515799</v>
      </c>
      <c r="E682" s="30">
        <f t="shared" si="65"/>
        <v>105.06644999999931</v>
      </c>
      <c r="F682" s="30">
        <f t="shared" si="61"/>
        <v>47.195006743007809</v>
      </c>
    </row>
    <row r="683" spans="1:6">
      <c r="A683" s="30">
        <f t="shared" si="64"/>
        <v>2.1048670779051695</v>
      </c>
      <c r="B683">
        <f t="shared" si="60"/>
        <v>-0.35841281123453694</v>
      </c>
      <c r="C683" s="30">
        <f t="shared" si="62"/>
        <v>0.35841281123453694</v>
      </c>
      <c r="D683" s="30">
        <f t="shared" si="63"/>
        <v>2.1048670779051695</v>
      </c>
      <c r="E683" s="30">
        <f t="shared" si="65"/>
        <v>105.22349999999931</v>
      </c>
      <c r="F683" s="30">
        <f t="shared" si="61"/>
        <v>47.197836377378877</v>
      </c>
    </row>
    <row r="684" spans="1:6">
      <c r="A684" s="30">
        <f t="shared" si="64"/>
        <v>2.1080086705587591</v>
      </c>
      <c r="B684">
        <f t="shared" si="60"/>
        <v>-0.36012305314935061</v>
      </c>
      <c r="C684" s="30">
        <f t="shared" si="62"/>
        <v>0.36012305314935061</v>
      </c>
      <c r="D684" s="30">
        <f t="shared" si="63"/>
        <v>2.1080086705587591</v>
      </c>
      <c r="E684" s="30">
        <f t="shared" si="65"/>
        <v>105.3805499999993</v>
      </c>
      <c r="F684" s="30">
        <f t="shared" si="61"/>
        <v>47.20067522683842</v>
      </c>
    </row>
    <row r="685" spans="1:6">
      <c r="A685" s="30">
        <f t="shared" si="64"/>
        <v>2.1111502632123487</v>
      </c>
      <c r="B685">
        <f t="shared" si="60"/>
        <v>-0.36183043311340313</v>
      </c>
      <c r="C685" s="30">
        <f t="shared" si="62"/>
        <v>0.36183043311340313</v>
      </c>
      <c r="D685" s="30">
        <f t="shared" si="63"/>
        <v>2.1111502632123487</v>
      </c>
      <c r="E685" s="30">
        <f t="shared" si="65"/>
        <v>105.5375999999993</v>
      </c>
      <c r="F685" s="30">
        <f t="shared" si="61"/>
        <v>47.203523179313507</v>
      </c>
    </row>
    <row r="686" spans="1:6">
      <c r="A686" s="30">
        <f t="shared" si="64"/>
        <v>2.1142918558659383</v>
      </c>
      <c r="B686">
        <f t="shared" si="60"/>
        <v>-0.36353499192295413</v>
      </c>
      <c r="C686" s="30">
        <f t="shared" si="62"/>
        <v>0.36353499192295413</v>
      </c>
      <c r="D686" s="30">
        <f t="shared" si="63"/>
        <v>2.1142918558659383</v>
      </c>
      <c r="E686" s="30">
        <f t="shared" si="65"/>
        <v>105.6946499999993</v>
      </c>
      <c r="F686" s="30">
        <f t="shared" si="61"/>
        <v>47.206380122371868</v>
      </c>
    </row>
    <row r="687" spans="1:6">
      <c r="A687" s="30">
        <f t="shared" si="64"/>
        <v>2.1174334485195279</v>
      </c>
      <c r="B687">
        <f t="shared" si="60"/>
        <v>-0.36523677012836298</v>
      </c>
      <c r="C687" s="30">
        <f t="shared" si="62"/>
        <v>0.36523677012836298</v>
      </c>
      <c r="D687" s="30">
        <f t="shared" si="63"/>
        <v>2.1174334485195279</v>
      </c>
      <c r="E687" s="30">
        <f t="shared" si="65"/>
        <v>105.8516999999993</v>
      </c>
      <c r="F687" s="30">
        <f t="shared" si="61"/>
        <v>47.209245943226271</v>
      </c>
    </row>
    <row r="688" spans="1:6">
      <c r="A688" s="30">
        <f t="shared" si="64"/>
        <v>2.1205750411731175</v>
      </c>
      <c r="B688">
        <f t="shared" si="60"/>
        <v>-0.36693580803820119</v>
      </c>
      <c r="C688" s="30">
        <f t="shared" si="62"/>
        <v>0.36693580803820119</v>
      </c>
      <c r="D688" s="30">
        <f t="shared" si="63"/>
        <v>2.1205750411731175</v>
      </c>
      <c r="E688" s="30">
        <f t="shared" si="65"/>
        <v>106.0087499999993</v>
      </c>
      <c r="F688" s="30">
        <f t="shared" si="61"/>
        <v>47.212120528739021</v>
      </c>
    </row>
    <row r="689" spans="1:6">
      <c r="A689" s="30">
        <f t="shared" si="64"/>
        <v>2.1237166338267071</v>
      </c>
      <c r="B689">
        <f t="shared" si="60"/>
        <v>-0.36863214572331915</v>
      </c>
      <c r="C689" s="30">
        <f t="shared" si="62"/>
        <v>0.36863214572331915</v>
      </c>
      <c r="D689" s="30">
        <f t="shared" si="63"/>
        <v>2.1237166338267071</v>
      </c>
      <c r="E689" s="30">
        <f t="shared" si="65"/>
        <v>106.16579999999929</v>
      </c>
      <c r="F689" s="30">
        <f t="shared" si="61"/>
        <v>47.215003765426395</v>
      </c>
    </row>
    <row r="690" spans="1:6">
      <c r="A690" s="30">
        <f t="shared" si="64"/>
        <v>2.1268582264802967</v>
      </c>
      <c r="B690">
        <f t="shared" si="60"/>
        <v>-0.37032582302086725</v>
      </c>
      <c r="C690" s="30">
        <f t="shared" si="62"/>
        <v>0.37032582302086725</v>
      </c>
      <c r="D690" s="30">
        <f t="shared" si="63"/>
        <v>2.1268582264802967</v>
      </c>
      <c r="E690" s="30">
        <f t="shared" si="65"/>
        <v>106.32284999999929</v>
      </c>
      <c r="F690" s="30">
        <f t="shared" si="61"/>
        <v>47.217895539463164</v>
      </c>
    </row>
    <row r="691" spans="1:6">
      <c r="A691" s="30">
        <f t="shared" si="64"/>
        <v>2.1299998191338863</v>
      </c>
      <c r="B691">
        <f t="shared" si="60"/>
        <v>-0.37201687953827367</v>
      </c>
      <c r="C691" s="30">
        <f t="shared" si="62"/>
        <v>0.37201687953827367</v>
      </c>
      <c r="D691" s="30">
        <f t="shared" si="63"/>
        <v>2.1299998191338863</v>
      </c>
      <c r="E691" s="30">
        <f t="shared" si="65"/>
        <v>106.47989999999929</v>
      </c>
      <c r="F691" s="30">
        <f t="shared" si="61"/>
        <v>47.220795736687023</v>
      </c>
    </row>
    <row r="692" spans="1:6">
      <c r="A692" s="30">
        <f t="shared" si="64"/>
        <v>2.1331414117874758</v>
      </c>
      <c r="B692">
        <f t="shared" si="60"/>
        <v>-0.37370535465717758</v>
      </c>
      <c r="C692" s="30">
        <f t="shared" si="62"/>
        <v>0.37370535465717758</v>
      </c>
      <c r="D692" s="30">
        <f t="shared" si="63"/>
        <v>2.1331414117874758</v>
      </c>
      <c r="E692" s="30">
        <f t="shared" si="65"/>
        <v>106.63694999999929</v>
      </c>
      <c r="F692" s="30">
        <f t="shared" si="61"/>
        <v>47.223704242603155</v>
      </c>
    </row>
    <row r="693" spans="1:6">
      <c r="A693" s="30">
        <f t="shared" si="64"/>
        <v>2.1362830044410654</v>
      </c>
      <c r="B693">
        <f t="shared" si="60"/>
        <v>-0.37539128753732109</v>
      </c>
      <c r="C693" s="30">
        <f t="shared" si="62"/>
        <v>0.37539128753732109</v>
      </c>
      <c r="D693" s="30">
        <f t="shared" si="63"/>
        <v>2.1362830044410654</v>
      </c>
      <c r="E693" s="30">
        <f t="shared" si="65"/>
        <v>106.79399999999929</v>
      </c>
      <c r="F693" s="30">
        <f t="shared" si="61"/>
        <v>47.226620942388735</v>
      </c>
    </row>
    <row r="694" spans="1:6">
      <c r="A694" s="30">
        <f t="shared" si="64"/>
        <v>2.139424597094655</v>
      </c>
      <c r="B694">
        <f t="shared" si="60"/>
        <v>-0.37707471712039803</v>
      </c>
      <c r="C694" s="30">
        <f t="shared" si="62"/>
        <v>0.37707471712039803</v>
      </c>
      <c r="D694" s="30">
        <f t="shared" si="63"/>
        <v>2.139424597094655</v>
      </c>
      <c r="E694" s="30">
        <f t="shared" si="65"/>
        <v>106.95104999999928</v>
      </c>
      <c r="F694" s="30">
        <f t="shared" si="61"/>
        <v>47.229545720897441</v>
      </c>
    </row>
    <row r="695" spans="1:6">
      <c r="A695" s="30">
        <f t="shared" si="64"/>
        <v>2.1425661897482446</v>
      </c>
      <c r="B695">
        <f t="shared" si="60"/>
        <v>-0.37875568213386379</v>
      </c>
      <c r="C695" s="30">
        <f t="shared" si="62"/>
        <v>0.37875568213386379</v>
      </c>
      <c r="D695" s="30">
        <f t="shared" si="63"/>
        <v>2.1425661897482446</v>
      </c>
      <c r="E695" s="30">
        <f t="shared" si="65"/>
        <v>107.10809999999928</v>
      </c>
      <c r="F695" s="30">
        <f t="shared" si="61"/>
        <v>47.232478462664034</v>
      </c>
    </row>
    <row r="696" spans="1:6">
      <c r="A696" s="30">
        <f t="shared" si="64"/>
        <v>2.1457077824018342</v>
      </c>
      <c r="B696">
        <f t="shared" si="60"/>
        <v>-0.38043422109470348</v>
      </c>
      <c r="C696" s="30">
        <f t="shared" si="62"/>
        <v>0.38043422109470348</v>
      </c>
      <c r="D696" s="30">
        <f t="shared" si="63"/>
        <v>2.1457077824018342</v>
      </c>
      <c r="E696" s="30">
        <f t="shared" si="65"/>
        <v>107.26514999999928</v>
      </c>
      <c r="F696" s="30">
        <f t="shared" si="61"/>
        <v>47.235419051908877</v>
      </c>
    </row>
    <row r="697" spans="1:6">
      <c r="A697" s="30">
        <f t="shared" si="64"/>
        <v>2.1488493750554238</v>
      </c>
      <c r="B697">
        <f t="shared" si="60"/>
        <v>-0.38211037231316192</v>
      </c>
      <c r="C697" s="30">
        <f t="shared" si="62"/>
        <v>0.38211037231316192</v>
      </c>
      <c r="D697" s="30">
        <f t="shared" si="63"/>
        <v>2.1488493750554238</v>
      </c>
      <c r="E697" s="30">
        <f t="shared" si="65"/>
        <v>107.42219999999928</v>
      </c>
      <c r="F697" s="30">
        <f t="shared" si="61"/>
        <v>47.238367372542555</v>
      </c>
    </row>
    <row r="698" spans="1:6">
      <c r="A698" s="30">
        <f t="shared" si="64"/>
        <v>2.1519909677090134</v>
      </c>
      <c r="B698">
        <f t="shared" si="60"/>
        <v>-0.38378417389643477</v>
      </c>
      <c r="C698" s="30">
        <f t="shared" si="62"/>
        <v>0.38378417389643477</v>
      </c>
      <c r="D698" s="30">
        <f t="shared" si="63"/>
        <v>2.1519909677090134</v>
      </c>
      <c r="E698" s="30">
        <f t="shared" si="65"/>
        <v>107.57924999999928</v>
      </c>
      <c r="F698" s="30">
        <f t="shared" si="61"/>
        <v>47.241323308170415</v>
      </c>
    </row>
    <row r="699" spans="1:6">
      <c r="A699" s="30">
        <f t="shared" si="64"/>
        <v>2.155132560362603</v>
      </c>
      <c r="B699">
        <f t="shared" si="60"/>
        <v>-0.3854556637523226</v>
      </c>
      <c r="C699" s="30">
        <f t="shared" si="62"/>
        <v>0.3854556637523226</v>
      </c>
      <c r="D699" s="30">
        <f t="shared" si="63"/>
        <v>2.155132560362603</v>
      </c>
      <c r="E699" s="30">
        <f t="shared" si="65"/>
        <v>107.73629999999928</v>
      </c>
      <c r="F699" s="30">
        <f t="shared" si="61"/>
        <v>47.244286742097174</v>
      </c>
    </row>
    <row r="700" spans="1:6">
      <c r="A700" s="30">
        <f t="shared" si="64"/>
        <v>2.1582741530161926</v>
      </c>
      <c r="B700">
        <f t="shared" si="60"/>
        <v>-0.38712487959284747</v>
      </c>
      <c r="C700" s="30">
        <f t="shared" si="62"/>
        <v>0.38712487959284747</v>
      </c>
      <c r="D700" s="30">
        <f t="shared" si="63"/>
        <v>2.1582741530161926</v>
      </c>
      <c r="E700" s="30">
        <f t="shared" si="65"/>
        <v>107.89334999999927</v>
      </c>
      <c r="F700" s="30">
        <f t="shared" si="61"/>
        <v>47.247257557331544</v>
      </c>
    </row>
    <row r="701" spans="1:6">
      <c r="A701" s="30">
        <f t="shared" si="64"/>
        <v>2.1614157456697822</v>
      </c>
      <c r="B701">
        <f t="shared" si="60"/>
        <v>-0.38879185893783391</v>
      </c>
      <c r="C701" s="30">
        <f t="shared" si="62"/>
        <v>0.38879185893783391</v>
      </c>
      <c r="D701" s="30">
        <f t="shared" si="63"/>
        <v>2.1614157456697822</v>
      </c>
      <c r="E701" s="30">
        <f t="shared" si="65"/>
        <v>108.05039999999927</v>
      </c>
      <c r="F701" s="30">
        <f t="shared" si="61"/>
        <v>47.250235636590816</v>
      </c>
    </row>
    <row r="702" spans="1:6">
      <c r="A702" s="30">
        <f t="shared" si="64"/>
        <v>2.1645573383233718</v>
      </c>
      <c r="B702">
        <f t="shared" si="60"/>
        <v>-0.39045663911845452</v>
      </c>
      <c r="C702" s="30">
        <f t="shared" si="62"/>
        <v>0.39045663911845452</v>
      </c>
      <c r="D702" s="30">
        <f t="shared" si="63"/>
        <v>2.1645573383233718</v>
      </c>
      <c r="E702" s="30">
        <f t="shared" si="65"/>
        <v>108.20744999999927</v>
      </c>
      <c r="F702" s="30">
        <f t="shared" si="61"/>
        <v>47.253220862305525</v>
      </c>
    </row>
    <row r="703" spans="1:6">
      <c r="A703" s="30">
        <f t="shared" si="64"/>
        <v>2.1676989309769614</v>
      </c>
      <c r="B703">
        <f t="shared" si="60"/>
        <v>-0.39211925728074104</v>
      </c>
      <c r="C703" s="30">
        <f t="shared" si="62"/>
        <v>0.39211925728074104</v>
      </c>
      <c r="D703" s="30">
        <f t="shared" si="63"/>
        <v>2.1676989309769614</v>
      </c>
      <c r="E703" s="30">
        <f t="shared" si="65"/>
        <v>108.36449999999927</v>
      </c>
      <c r="F703" s="30">
        <f t="shared" si="61"/>
        <v>47.256213116624068</v>
      </c>
    </row>
    <row r="704" spans="1:6">
      <c r="A704" s="30">
        <f t="shared" si="64"/>
        <v>2.170840523630551</v>
      </c>
      <c r="B704">
        <f t="shared" si="60"/>
        <v>-0.39377975038906143</v>
      </c>
      <c r="C704" s="30">
        <f t="shared" si="62"/>
        <v>0.39377975038906143</v>
      </c>
      <c r="D704" s="30">
        <f t="shared" si="63"/>
        <v>2.170840523630551</v>
      </c>
      <c r="E704" s="30">
        <f t="shared" si="65"/>
        <v>108.52154999999927</v>
      </c>
      <c r="F704" s="30">
        <f t="shared" si="61"/>
        <v>47.259212281417376</v>
      </c>
    </row>
    <row r="705" spans="1:6">
      <c r="A705" s="30">
        <f t="shared" si="64"/>
        <v>2.1739821162841406</v>
      </c>
      <c r="B705">
        <f t="shared" si="60"/>
        <v>-0.39543815522956399</v>
      </c>
      <c r="C705" s="30">
        <f t="shared" si="62"/>
        <v>0.39543815522956399</v>
      </c>
      <c r="D705" s="30">
        <f t="shared" si="63"/>
        <v>2.1739821162841406</v>
      </c>
      <c r="E705" s="30">
        <f t="shared" si="65"/>
        <v>108.67859999999926</v>
      </c>
      <c r="F705" s="30">
        <f t="shared" si="61"/>
        <v>47.262218238283552</v>
      </c>
    </row>
    <row r="706" spans="1:6">
      <c r="A706" s="30">
        <f t="shared" si="64"/>
        <v>2.1771237089377302</v>
      </c>
      <c r="B706">
        <f t="shared" si="60"/>
        <v>-0.39709450841358929</v>
      </c>
      <c r="C706" s="30">
        <f t="shared" si="62"/>
        <v>0.39709450841358929</v>
      </c>
      <c r="D706" s="30">
        <f t="shared" si="63"/>
        <v>2.1771237089377302</v>
      </c>
      <c r="E706" s="30">
        <f t="shared" si="65"/>
        <v>108.83564999999926</v>
      </c>
      <c r="F706" s="30">
        <f t="shared" si="61"/>
        <v>47.265230868552571</v>
      </c>
    </row>
    <row r="707" spans="1:6">
      <c r="A707" s="30">
        <f t="shared" si="64"/>
        <v>2.1802653015913198</v>
      </c>
      <c r="B707">
        <f t="shared" si="60"/>
        <v>-0.39874884638104957</v>
      </c>
      <c r="C707" s="30">
        <f t="shared" si="62"/>
        <v>0.39874884638104957</v>
      </c>
      <c r="D707" s="30">
        <f t="shared" si="63"/>
        <v>2.1802653015913198</v>
      </c>
      <c r="E707" s="30">
        <f t="shared" si="65"/>
        <v>108.99269999999926</v>
      </c>
      <c r="F707" s="30">
        <f t="shared" si="61"/>
        <v>47.268250053290942</v>
      </c>
    </row>
    <row r="708" spans="1:6">
      <c r="A708" s="30">
        <f t="shared" si="64"/>
        <v>2.1834068942449094</v>
      </c>
      <c r="B708">
        <f t="shared" si="60"/>
        <v>-0.40040120540377838</v>
      </c>
      <c r="C708" s="30">
        <f t="shared" si="62"/>
        <v>0.40040120540377838</v>
      </c>
      <c r="D708" s="30">
        <f t="shared" si="63"/>
        <v>2.1834068942449094</v>
      </c>
      <c r="E708" s="30">
        <f t="shared" si="65"/>
        <v>109.14974999999926</v>
      </c>
      <c r="F708" s="30">
        <f t="shared" si="61"/>
        <v>47.271275673306427</v>
      </c>
    </row>
    <row r="709" spans="1:6">
      <c r="A709" s="30">
        <f t="shared" si="64"/>
        <v>2.186548486898499</v>
      </c>
      <c r="B709">
        <f t="shared" si="60"/>
        <v>-0.40205162158884905</v>
      </c>
      <c r="C709" s="30">
        <f t="shared" si="62"/>
        <v>0.40205162158884905</v>
      </c>
      <c r="D709" s="30">
        <f t="shared" si="63"/>
        <v>2.186548486898499</v>
      </c>
      <c r="E709" s="30">
        <f t="shared" si="65"/>
        <v>109.30679999999926</v>
      </c>
      <c r="F709" s="30">
        <f t="shared" si="61"/>
        <v>47.274307609152721</v>
      </c>
    </row>
    <row r="710" spans="1:6">
      <c r="A710" s="30">
        <f t="shared" si="64"/>
        <v>2.1896900795520886</v>
      </c>
      <c r="B710">
        <f t="shared" si="60"/>
        <v>-0.40370013088186313</v>
      </c>
      <c r="C710" s="30">
        <f t="shared" si="62"/>
        <v>0.40370013088186313</v>
      </c>
      <c r="D710" s="30">
        <f t="shared" si="63"/>
        <v>2.1896900795520886</v>
      </c>
      <c r="E710" s="30">
        <f t="shared" si="65"/>
        <v>109.46384999999925</v>
      </c>
      <c r="F710" s="30">
        <f t="shared" si="61"/>
        <v>47.277345741134198</v>
      </c>
    </row>
    <row r="711" spans="1:6">
      <c r="A711" s="30">
        <f t="shared" si="64"/>
        <v>2.1928316722056782</v>
      </c>
      <c r="B711">
        <f t="shared" si="60"/>
        <v>-0.40534676907021122</v>
      </c>
      <c r="C711" s="30">
        <f t="shared" si="62"/>
        <v>0.40534676907021122</v>
      </c>
      <c r="D711" s="30">
        <f t="shared" si="63"/>
        <v>2.1928316722056782</v>
      </c>
      <c r="E711" s="30">
        <f t="shared" si="65"/>
        <v>109.62089999999925</v>
      </c>
      <c r="F711" s="30">
        <f t="shared" si="61"/>
        <v>47.280389949310596</v>
      </c>
    </row>
    <row r="712" spans="1:6">
      <c r="A712" s="30">
        <f t="shared" si="64"/>
        <v>2.1959732648592678</v>
      </c>
      <c r="B712">
        <f t="shared" si="60"/>
        <v>-0.40699157178630374</v>
      </c>
      <c r="C712" s="30">
        <f t="shared" si="62"/>
        <v>0.40699157178630374</v>
      </c>
      <c r="D712" s="30">
        <f t="shared" si="63"/>
        <v>2.1959732648592678</v>
      </c>
      <c r="E712" s="30">
        <f t="shared" si="65"/>
        <v>109.77794999999925</v>
      </c>
      <c r="F712" s="30">
        <f t="shared" si="61"/>
        <v>47.283440113501804</v>
      </c>
    </row>
    <row r="713" spans="1:6">
      <c r="A713" s="30">
        <f t="shared" si="64"/>
        <v>2.1991148575128574</v>
      </c>
      <c r="B713">
        <f t="shared" si="60"/>
        <v>-0.40863457451077551</v>
      </c>
      <c r="C713" s="30">
        <f t="shared" si="62"/>
        <v>0.40863457451077551</v>
      </c>
      <c r="D713" s="30">
        <f t="shared" si="63"/>
        <v>2.1991148575128574</v>
      </c>
      <c r="E713" s="30">
        <f t="shared" si="65"/>
        <v>109.93499999999925</v>
      </c>
      <c r="F713" s="30">
        <f t="shared" si="61"/>
        <v>47.286496113292557</v>
      </c>
    </row>
    <row r="714" spans="1:6">
      <c r="A714" s="30">
        <f t="shared" si="64"/>
        <v>2.202256450166447</v>
      </c>
      <c r="B714">
        <f t="shared" si="60"/>
        <v>-0.41027581257566215</v>
      </c>
      <c r="C714" s="30">
        <f t="shared" si="62"/>
        <v>0.41027581257566215</v>
      </c>
      <c r="D714" s="30">
        <f t="shared" si="63"/>
        <v>2.202256450166447</v>
      </c>
      <c r="E714" s="30">
        <f t="shared" si="65"/>
        <v>110.09204999999925</v>
      </c>
      <c r="F714" s="30">
        <f t="shared" si="61"/>
        <v>47.289557828037211</v>
      </c>
    </row>
    <row r="715" spans="1:6">
      <c r="A715" s="30">
        <f t="shared" si="64"/>
        <v>2.2053980428200366</v>
      </c>
      <c r="B715">
        <f t="shared" si="60"/>
        <v>-0.41191532116755042</v>
      </c>
      <c r="C715" s="30">
        <f t="shared" si="62"/>
        <v>0.41191532116755042</v>
      </c>
      <c r="D715" s="30">
        <f t="shared" si="63"/>
        <v>2.2053980428200366</v>
      </c>
      <c r="E715" s="30">
        <f t="shared" si="65"/>
        <v>110.24909999999925</v>
      </c>
      <c r="F715" s="30">
        <f t="shared" si="61"/>
        <v>47.292625136864515</v>
      </c>
    </row>
    <row r="716" spans="1:6">
      <c r="A716" s="30">
        <f t="shared" si="64"/>
        <v>2.2085396354736262</v>
      </c>
      <c r="B716">
        <f t="shared" si="60"/>
        <v>-0.41355313533070293</v>
      </c>
      <c r="C716" s="30">
        <f t="shared" si="62"/>
        <v>0.41355313533070293</v>
      </c>
      <c r="D716" s="30">
        <f t="shared" si="63"/>
        <v>2.2085396354736262</v>
      </c>
      <c r="E716" s="30">
        <f t="shared" si="65"/>
        <v>110.40614999999924</v>
      </c>
      <c r="F716" s="30">
        <f t="shared" si="61"/>
        <v>47.295697918682372</v>
      </c>
    </row>
    <row r="717" spans="1:6">
      <c r="A717" s="30">
        <f t="shared" si="64"/>
        <v>2.2116812281272158</v>
      </c>
      <c r="B717">
        <f t="shared" ref="B717:B780" si="66">$H$3*(SIN($H$4+A717)-SIN($H$5+A717))/(SIN($H$4+A717)-SIN(A717))-$H$6</f>
        <v>-0.41518928997015719</v>
      </c>
      <c r="C717" s="30">
        <f t="shared" si="62"/>
        <v>0.41518928997015719</v>
      </c>
      <c r="D717" s="30">
        <f t="shared" si="63"/>
        <v>2.2116812281272158</v>
      </c>
      <c r="E717" s="30">
        <f t="shared" si="65"/>
        <v>110.56319999999924</v>
      </c>
      <c r="F717" s="30">
        <f t="shared" ref="F717:F780" si="67">$M$5*SIN(2*PI()/$B$7*E717+$M$4)+$M$6</f>
        <v>47.298776052182603</v>
      </c>
    </row>
    <row r="718" spans="1:6">
      <c r="A718" s="30">
        <f t="shared" si="64"/>
        <v>2.2148228207808054</v>
      </c>
      <c r="B718">
        <f t="shared" si="66"/>
        <v>-0.41682381985480044</v>
      </c>
      <c r="C718" s="30">
        <f t="shared" ref="C718:C781" si="68">ABS(B718)</f>
        <v>0.41682381985480044</v>
      </c>
      <c r="D718" s="30">
        <f t="shared" ref="D718:D781" si="69">A718</f>
        <v>2.2148228207808054</v>
      </c>
      <c r="E718" s="30">
        <f t="shared" si="65"/>
        <v>110.72024999999924</v>
      </c>
      <c r="F718" s="30">
        <f t="shared" si="67"/>
        <v>47.301859415845783</v>
      </c>
    </row>
    <row r="719" spans="1:6">
      <c r="A719" s="30">
        <f t="shared" ref="A719:A782" si="70">A718+PI()/1000</f>
        <v>2.217964413434395</v>
      </c>
      <c r="B719">
        <f t="shared" si="66"/>
        <v>-0.41845675962041995</v>
      </c>
      <c r="C719" s="30">
        <f t="shared" si="68"/>
        <v>0.41845675962041995</v>
      </c>
      <c r="D719" s="30">
        <f t="shared" si="69"/>
        <v>2.217964413434395</v>
      </c>
      <c r="E719" s="30">
        <f t="shared" ref="E719:E782" si="71">E718+$B$7/1000</f>
        <v>110.87729999999924</v>
      </c>
      <c r="F719" s="30">
        <f t="shared" si="67"/>
        <v>47.304947887945993</v>
      </c>
    </row>
    <row r="720" spans="1:6">
      <c r="A720" s="30">
        <f t="shared" si="70"/>
        <v>2.2211060060879846</v>
      </c>
      <c r="B720">
        <f t="shared" si="66"/>
        <v>-0.4200881437727304</v>
      </c>
      <c r="C720" s="30">
        <f t="shared" si="68"/>
        <v>0.4200881437727304</v>
      </c>
      <c r="D720" s="30">
        <f t="shared" si="69"/>
        <v>2.2211060060879846</v>
      </c>
      <c r="E720" s="30">
        <f t="shared" si="71"/>
        <v>111.03434999999924</v>
      </c>
      <c r="F720" s="30">
        <f t="shared" si="67"/>
        <v>47.308041346555633</v>
      </c>
    </row>
    <row r="721" spans="1:6">
      <c r="A721" s="30">
        <f t="shared" si="70"/>
        <v>2.2242475987415742</v>
      </c>
      <c r="B721">
        <f t="shared" si="66"/>
        <v>-0.42171800669037779</v>
      </c>
      <c r="C721" s="30">
        <f t="shared" si="68"/>
        <v>0.42171800669037779</v>
      </c>
      <c r="D721" s="30">
        <f t="shared" si="69"/>
        <v>2.2242475987415742</v>
      </c>
      <c r="E721" s="30">
        <f t="shared" si="71"/>
        <v>111.19139999999923</v>
      </c>
      <c r="F721" s="30">
        <f t="shared" si="67"/>
        <v>47.311139669550265</v>
      </c>
    </row>
    <row r="722" spans="1:6">
      <c r="A722" s="30">
        <f t="shared" si="70"/>
        <v>2.2273891913951638</v>
      </c>
      <c r="B722">
        <f t="shared" si="66"/>
        <v>-0.4233463826279219</v>
      </c>
      <c r="C722" s="30">
        <f t="shared" si="68"/>
        <v>0.4233463826279219</v>
      </c>
      <c r="D722" s="30">
        <f t="shared" si="69"/>
        <v>2.2273891913951638</v>
      </c>
      <c r="E722" s="30">
        <f t="shared" si="71"/>
        <v>111.34844999999923</v>
      </c>
      <c r="F722" s="30">
        <f t="shared" si="67"/>
        <v>47.314242734613394</v>
      </c>
    </row>
    <row r="723" spans="1:6">
      <c r="A723" s="30">
        <f t="shared" si="70"/>
        <v>2.2305307840487534</v>
      </c>
      <c r="B723">
        <f t="shared" si="66"/>
        <v>-0.42497330571879577</v>
      </c>
      <c r="C723" s="30">
        <f t="shared" si="68"/>
        <v>0.42497330571879577</v>
      </c>
      <c r="D723" s="30">
        <f t="shared" si="69"/>
        <v>2.2305307840487534</v>
      </c>
      <c r="E723" s="30">
        <f t="shared" si="71"/>
        <v>111.50549999999923</v>
      </c>
      <c r="F723" s="30">
        <f t="shared" si="67"/>
        <v>47.317350419241329</v>
      </c>
    </row>
    <row r="724" spans="1:6">
      <c r="A724" s="30">
        <f t="shared" si="70"/>
        <v>2.233672376702343</v>
      </c>
      <c r="B724">
        <f t="shared" si="66"/>
        <v>-0.42659880997824517</v>
      </c>
      <c r="C724" s="30">
        <f t="shared" si="68"/>
        <v>0.42659880997824517</v>
      </c>
      <c r="D724" s="30">
        <f t="shared" si="69"/>
        <v>2.233672376702343</v>
      </c>
      <c r="E724" s="30">
        <f t="shared" si="71"/>
        <v>111.66254999999923</v>
      </c>
      <c r="F724" s="30">
        <f t="shared" si="67"/>
        <v>47.320462600748002</v>
      </c>
    </row>
    <row r="725" spans="1:6">
      <c r="A725" s="30">
        <f t="shared" si="70"/>
        <v>2.2368139693559326</v>
      </c>
      <c r="B725">
        <f t="shared" si="66"/>
        <v>-0.42822292930624672</v>
      </c>
      <c r="C725" s="30">
        <f t="shared" si="68"/>
        <v>0.42822292930624672</v>
      </c>
      <c r="D725" s="30">
        <f t="shared" si="69"/>
        <v>2.2368139693559326</v>
      </c>
      <c r="E725" s="30">
        <f t="shared" si="71"/>
        <v>111.81959999999923</v>
      </c>
      <c r="F725" s="30">
        <f t="shared" si="67"/>
        <v>47.323579156269808</v>
      </c>
    </row>
    <row r="726" spans="1:6">
      <c r="A726" s="30">
        <f t="shared" si="70"/>
        <v>2.2399555620095222</v>
      </c>
      <c r="B726">
        <f t="shared" si="66"/>
        <v>-0.42984569749040635</v>
      </c>
      <c r="C726" s="30">
        <f t="shared" si="68"/>
        <v>0.42984569749040635</v>
      </c>
      <c r="D726" s="30">
        <f t="shared" si="69"/>
        <v>2.2399555620095222</v>
      </c>
      <c r="E726" s="30">
        <f t="shared" si="71"/>
        <v>111.97664999999922</v>
      </c>
      <c r="F726" s="30">
        <f t="shared" si="67"/>
        <v>47.326699962770483</v>
      </c>
    </row>
    <row r="727" spans="1:6">
      <c r="A727" s="30">
        <f t="shared" si="70"/>
        <v>2.2430971546631118</v>
      </c>
      <c r="B727">
        <f t="shared" si="66"/>
        <v>-0.43146714820883769</v>
      </c>
      <c r="C727" s="30">
        <f t="shared" si="68"/>
        <v>0.43146714820883769</v>
      </c>
      <c r="D727" s="30">
        <f t="shared" si="69"/>
        <v>2.2430971546631118</v>
      </c>
      <c r="E727" s="30">
        <f t="shared" si="71"/>
        <v>112.13369999999922</v>
      </c>
      <c r="F727" s="30">
        <f t="shared" si="67"/>
        <v>47.329824897045931</v>
      </c>
    </row>
    <row r="728" spans="1:6">
      <c r="A728" s="30">
        <f t="shared" si="70"/>
        <v>2.2462387473167014</v>
      </c>
      <c r="B728">
        <f t="shared" si="66"/>
        <v>-0.43308731503302178</v>
      </c>
      <c r="C728" s="30">
        <f t="shared" si="68"/>
        <v>0.43308731503302178</v>
      </c>
      <c r="D728" s="30">
        <f t="shared" si="69"/>
        <v>2.2462387473167014</v>
      </c>
      <c r="E728" s="30">
        <f t="shared" si="71"/>
        <v>112.29074999999922</v>
      </c>
      <c r="F728" s="30">
        <f t="shared" si="67"/>
        <v>47.332953835729086</v>
      </c>
    </row>
    <row r="729" spans="1:6">
      <c r="A729" s="30">
        <f t="shared" si="70"/>
        <v>2.249380339970291</v>
      </c>
      <c r="B729">
        <f t="shared" si="66"/>
        <v>-0.43470623143064868</v>
      </c>
      <c r="C729" s="30">
        <f t="shared" si="68"/>
        <v>0.43470623143064868</v>
      </c>
      <c r="D729" s="30">
        <f t="shared" si="69"/>
        <v>2.249380339970291</v>
      </c>
      <c r="E729" s="30">
        <f t="shared" si="71"/>
        <v>112.44779999999922</v>
      </c>
      <c r="F729" s="30">
        <f t="shared" si="67"/>
        <v>47.336086655294807</v>
      </c>
    </row>
    <row r="730" spans="1:6">
      <c r="A730" s="30">
        <f t="shared" si="70"/>
        <v>2.2525219326238806</v>
      </c>
      <c r="B730">
        <f t="shared" si="66"/>
        <v>-0.43632393076843984</v>
      </c>
      <c r="C730" s="30">
        <f t="shared" si="68"/>
        <v>0.43632393076843984</v>
      </c>
      <c r="D730" s="30">
        <f t="shared" si="69"/>
        <v>2.2525219326238806</v>
      </c>
      <c r="E730" s="30">
        <f t="shared" si="71"/>
        <v>112.60484999999922</v>
      </c>
      <c r="F730" s="30">
        <f t="shared" si="67"/>
        <v>47.339223232064754</v>
      </c>
    </row>
    <row r="731" spans="1:6">
      <c r="A731" s="30">
        <f t="shared" si="70"/>
        <v>2.2556635252774702</v>
      </c>
      <c r="B731">
        <f t="shared" si="66"/>
        <v>-0.43794044631495466</v>
      </c>
      <c r="C731" s="30">
        <f t="shared" si="68"/>
        <v>0.43794044631495466</v>
      </c>
      <c r="D731" s="30">
        <f t="shared" si="69"/>
        <v>2.2556635252774702</v>
      </c>
      <c r="E731" s="30">
        <f t="shared" si="71"/>
        <v>112.76189999999922</v>
      </c>
      <c r="F731" s="30">
        <f t="shared" si="67"/>
        <v>47.342363442212239</v>
      </c>
    </row>
    <row r="732" spans="1:6">
      <c r="A732" s="30">
        <f t="shared" si="70"/>
        <v>2.2588051179310598</v>
      </c>
      <c r="B732">
        <f t="shared" si="66"/>
        <v>-0.43955581124337867</v>
      </c>
      <c r="C732" s="30">
        <f t="shared" si="68"/>
        <v>0.43955581124337867</v>
      </c>
      <c r="D732" s="30">
        <f t="shared" si="69"/>
        <v>2.2588051179310598</v>
      </c>
      <c r="E732" s="30">
        <f t="shared" si="71"/>
        <v>112.91894999999921</v>
      </c>
      <c r="F732" s="30">
        <f t="shared" si="67"/>
        <v>47.345507161767145</v>
      </c>
    </row>
    <row r="733" spans="1:6">
      <c r="A733" s="30">
        <f t="shared" si="70"/>
        <v>2.2619467105846494</v>
      </c>
      <c r="B733">
        <f t="shared" si="66"/>
        <v>-0.44117005863429637</v>
      </c>
      <c r="C733" s="30">
        <f t="shared" si="68"/>
        <v>0.44117005863429637</v>
      </c>
      <c r="D733" s="30">
        <f t="shared" si="69"/>
        <v>2.2619467105846494</v>
      </c>
      <c r="E733" s="30">
        <f t="shared" si="71"/>
        <v>113.07599999999921</v>
      </c>
      <c r="F733" s="30">
        <f t="shared" si="67"/>
        <v>47.348654266620798</v>
      </c>
    </row>
    <row r="734" spans="1:6">
      <c r="A734" s="30">
        <f t="shared" si="70"/>
        <v>2.265088303238239</v>
      </c>
      <c r="B734">
        <f t="shared" si="66"/>
        <v>-0.44278322147844706</v>
      </c>
      <c r="C734" s="30">
        <f t="shared" si="68"/>
        <v>0.44278322147844706</v>
      </c>
      <c r="D734" s="30">
        <f t="shared" si="69"/>
        <v>2.265088303238239</v>
      </c>
      <c r="E734" s="30">
        <f t="shared" si="71"/>
        <v>113.23304999999921</v>
      </c>
      <c r="F734" s="30">
        <f t="shared" si="67"/>
        <v>47.3518046325309</v>
      </c>
    </row>
    <row r="735" spans="1:6">
      <c r="A735" s="30">
        <f t="shared" si="70"/>
        <v>2.2682298958918286</v>
      </c>
      <c r="B735">
        <f t="shared" si="66"/>
        <v>-0.44439533267946629</v>
      </c>
      <c r="C735" s="30">
        <f t="shared" si="68"/>
        <v>0.44439533267946629</v>
      </c>
      <c r="D735" s="30">
        <f t="shared" si="69"/>
        <v>2.2682298958918286</v>
      </c>
      <c r="E735" s="30">
        <f t="shared" si="71"/>
        <v>113.39009999999921</v>
      </c>
      <c r="F735" s="30">
        <f t="shared" si="67"/>
        <v>47.354958135126388</v>
      </c>
    </row>
    <row r="736" spans="1:6">
      <c r="A736" s="30">
        <f t="shared" si="70"/>
        <v>2.2713714885454181</v>
      </c>
      <c r="B736">
        <f t="shared" si="66"/>
        <v>-0.44600642505661175</v>
      </c>
      <c r="C736" s="30">
        <f t="shared" si="68"/>
        <v>0.44600642505661175</v>
      </c>
      <c r="D736" s="30">
        <f t="shared" si="69"/>
        <v>2.2713714885454181</v>
      </c>
      <c r="E736" s="30">
        <f t="shared" si="71"/>
        <v>113.54714999999921</v>
      </c>
      <c r="F736" s="30">
        <f t="shared" si="67"/>
        <v>47.358114649912388</v>
      </c>
    </row>
    <row r="737" spans="1:6">
      <c r="A737" s="30">
        <f t="shared" si="70"/>
        <v>2.2745130811990077</v>
      </c>
      <c r="B737">
        <f t="shared" si="66"/>
        <v>-0.44761653134747442</v>
      </c>
      <c r="C737" s="30">
        <f t="shared" si="68"/>
        <v>0.44761653134747442</v>
      </c>
      <c r="D737" s="30">
        <f t="shared" si="69"/>
        <v>2.2745130811990077</v>
      </c>
      <c r="E737" s="30">
        <f t="shared" si="71"/>
        <v>113.7041999999992</v>
      </c>
      <c r="F737" s="30">
        <f t="shared" si="67"/>
        <v>47.3612740522751</v>
      </c>
    </row>
    <row r="738" spans="1:6">
      <c r="A738" s="30">
        <f t="shared" si="70"/>
        <v>2.2776546738525973</v>
      </c>
      <c r="B738">
        <f t="shared" si="66"/>
        <v>-0.44922568421067666</v>
      </c>
      <c r="C738" s="30">
        <f t="shared" si="68"/>
        <v>0.44922568421067666</v>
      </c>
      <c r="D738" s="30">
        <f t="shared" si="69"/>
        <v>2.2776546738525973</v>
      </c>
      <c r="E738" s="30">
        <f t="shared" si="71"/>
        <v>113.8612499999992</v>
      </c>
      <c r="F738" s="30">
        <f t="shared" si="67"/>
        <v>47.364436217486727</v>
      </c>
    </row>
    <row r="739" spans="1:6">
      <c r="A739" s="30">
        <f t="shared" si="70"/>
        <v>2.2807962665061869</v>
      </c>
      <c r="B739">
        <f t="shared" si="66"/>
        <v>-0.45083391622855595</v>
      </c>
      <c r="C739" s="30">
        <f t="shared" si="68"/>
        <v>0.45083391622855595</v>
      </c>
      <c r="D739" s="30">
        <f t="shared" si="69"/>
        <v>2.2807962665061869</v>
      </c>
      <c r="E739" s="30">
        <f t="shared" si="71"/>
        <v>114.0182999999992</v>
      </c>
      <c r="F739" s="30">
        <f t="shared" si="67"/>
        <v>47.367601020710396</v>
      </c>
    </row>
    <row r="740" spans="1:6">
      <c r="A740" s="30">
        <f t="shared" si="70"/>
        <v>2.2839378591597765</v>
      </c>
      <c r="B740">
        <f t="shared" si="66"/>
        <v>-0.4524412599098358</v>
      </c>
      <c r="C740" s="30">
        <f t="shared" si="68"/>
        <v>0.4524412599098358</v>
      </c>
      <c r="D740" s="30">
        <f t="shared" si="69"/>
        <v>2.2839378591597765</v>
      </c>
      <c r="E740" s="30">
        <f t="shared" si="71"/>
        <v>114.1753499999992</v>
      </c>
      <c r="F740" s="30">
        <f t="shared" si="67"/>
        <v>47.370768337005096</v>
      </c>
    </row>
    <row r="741" spans="1:6">
      <c r="A741" s="30">
        <f t="shared" si="70"/>
        <v>2.2870794518133661</v>
      </c>
      <c r="B741">
        <f t="shared" si="66"/>
        <v>-0.45404774769228468</v>
      </c>
      <c r="C741" s="30">
        <f t="shared" si="68"/>
        <v>0.45404774769228468</v>
      </c>
      <c r="D741" s="30">
        <f t="shared" si="69"/>
        <v>2.2870794518133661</v>
      </c>
      <c r="E741" s="30">
        <f t="shared" si="71"/>
        <v>114.3323999999992</v>
      </c>
      <c r="F741" s="30">
        <f t="shared" si="67"/>
        <v>47.373938041330611</v>
      </c>
    </row>
    <row r="742" spans="1:6">
      <c r="A742" s="30">
        <f t="shared" si="70"/>
        <v>2.2902210444669557</v>
      </c>
      <c r="B742">
        <f t="shared" si="66"/>
        <v>-0.45565341194536185</v>
      </c>
      <c r="C742" s="30">
        <f t="shared" si="68"/>
        <v>0.45565341194536185</v>
      </c>
      <c r="D742" s="30">
        <f t="shared" si="69"/>
        <v>2.2902210444669557</v>
      </c>
      <c r="E742" s="30">
        <f t="shared" si="71"/>
        <v>114.4894499999992</v>
      </c>
      <c r="F742" s="30">
        <f t="shared" si="67"/>
        <v>47.377110008552428</v>
      </c>
    </row>
    <row r="743" spans="1:6">
      <c r="A743" s="30">
        <f t="shared" si="70"/>
        <v>2.2933626371205453</v>
      </c>
      <c r="B743">
        <f t="shared" si="66"/>
        <v>-0.45725828497285226</v>
      </c>
      <c r="C743" s="30">
        <f t="shared" si="68"/>
        <v>0.45725828497285226</v>
      </c>
      <c r="D743" s="30">
        <f t="shared" si="69"/>
        <v>2.2933626371205453</v>
      </c>
      <c r="E743" s="30">
        <f t="shared" si="71"/>
        <v>114.64649999999919</v>
      </c>
      <c r="F743" s="30">
        <f t="shared" si="67"/>
        <v>47.380284113446727</v>
      </c>
    </row>
    <row r="744" spans="1:6">
      <c r="A744" s="30">
        <f t="shared" si="70"/>
        <v>2.2965042297741349</v>
      </c>
      <c r="B744">
        <f t="shared" si="66"/>
        <v>-0.45886239901549031</v>
      </c>
      <c r="C744" s="30">
        <f t="shared" si="68"/>
        <v>0.45886239901549031</v>
      </c>
      <c r="D744" s="30">
        <f t="shared" si="69"/>
        <v>2.2965042297741349</v>
      </c>
      <c r="E744" s="30">
        <f t="shared" si="71"/>
        <v>114.80354999999919</v>
      </c>
      <c r="F744" s="30">
        <f t="shared" si="67"/>
        <v>47.383460230705275</v>
      </c>
    </row>
    <row r="745" spans="1:6">
      <c r="A745" s="30">
        <f t="shared" si="70"/>
        <v>2.2996458224277245</v>
      </c>
      <c r="B745">
        <f t="shared" si="66"/>
        <v>-0.46046578625357254</v>
      </c>
      <c r="C745" s="30">
        <f t="shared" si="68"/>
        <v>0.46046578625357254</v>
      </c>
      <c r="D745" s="30">
        <f t="shared" si="69"/>
        <v>2.2996458224277245</v>
      </c>
      <c r="E745" s="30">
        <f t="shared" si="71"/>
        <v>114.96059999999919</v>
      </c>
      <c r="F745" s="30">
        <f t="shared" si="67"/>
        <v>47.386638234940399</v>
      </c>
    </row>
    <row r="746" spans="1:6">
      <c r="A746" s="30">
        <f t="shared" si="70"/>
        <v>2.3027874150813141</v>
      </c>
      <c r="B746">
        <f t="shared" si="66"/>
        <v>-0.46206847880956009</v>
      </c>
      <c r="C746" s="30">
        <f t="shared" si="68"/>
        <v>0.46206847880956009</v>
      </c>
      <c r="D746" s="30">
        <f t="shared" si="69"/>
        <v>2.3027874150813141</v>
      </c>
      <c r="E746" s="30">
        <f t="shared" si="71"/>
        <v>115.11764999999919</v>
      </c>
      <c r="F746" s="30">
        <f t="shared" si="67"/>
        <v>47.389818000689942</v>
      </c>
    </row>
    <row r="747" spans="1:6">
      <c r="A747" s="30">
        <f t="shared" si="70"/>
        <v>2.3059290077349037</v>
      </c>
      <c r="B747">
        <f t="shared" si="66"/>
        <v>-0.46367050875067178</v>
      </c>
      <c r="C747" s="30">
        <f t="shared" si="68"/>
        <v>0.46367050875067178</v>
      </c>
      <c r="D747" s="30">
        <f t="shared" si="69"/>
        <v>2.3059290077349037</v>
      </c>
      <c r="E747" s="30">
        <f t="shared" si="71"/>
        <v>115.27469999999919</v>
      </c>
      <c r="F747" s="30">
        <f t="shared" si="67"/>
        <v>47.392999402422184</v>
      </c>
    </row>
    <row r="748" spans="1:6">
      <c r="A748" s="30">
        <f t="shared" si="70"/>
        <v>2.3090706003884933</v>
      </c>
      <c r="B748">
        <f t="shared" si="66"/>
        <v>-0.46527190809146729</v>
      </c>
      <c r="C748" s="30">
        <f t="shared" si="68"/>
        <v>0.46527190809146729</v>
      </c>
      <c r="D748" s="30">
        <f t="shared" si="69"/>
        <v>2.3090706003884933</v>
      </c>
      <c r="E748" s="30">
        <f t="shared" si="71"/>
        <v>115.43174999999918</v>
      </c>
      <c r="F748" s="30">
        <f t="shared" si="67"/>
        <v>47.396182314540845</v>
      </c>
    </row>
    <row r="749" spans="1:6">
      <c r="A749" s="30">
        <f t="shared" si="70"/>
        <v>2.3122121930420829</v>
      </c>
      <c r="B749">
        <f t="shared" si="66"/>
        <v>-0.4668727087964219</v>
      </c>
      <c r="C749" s="30">
        <f t="shared" si="68"/>
        <v>0.4668727087964219</v>
      </c>
      <c r="D749" s="30">
        <f t="shared" si="69"/>
        <v>2.3122121930420829</v>
      </c>
      <c r="E749" s="30">
        <f t="shared" si="71"/>
        <v>115.58879999999918</v>
      </c>
      <c r="F749" s="30">
        <f t="shared" si="67"/>
        <v>47.399366611389993</v>
      </c>
    </row>
    <row r="750" spans="1:6">
      <c r="A750" s="30">
        <f t="shared" si="70"/>
        <v>2.3153537856956725</v>
      </c>
      <c r="B750">
        <f t="shared" si="66"/>
        <v>-0.46847294278249241</v>
      </c>
      <c r="C750" s="30">
        <f t="shared" si="68"/>
        <v>0.46847294278249241</v>
      </c>
      <c r="D750" s="30">
        <f t="shared" si="69"/>
        <v>2.3153537856956725</v>
      </c>
      <c r="E750" s="30">
        <f t="shared" si="71"/>
        <v>115.74584999999918</v>
      </c>
      <c r="F750" s="30">
        <f t="shared" si="67"/>
        <v>47.402552167259046</v>
      </c>
    </row>
    <row r="751" spans="1:6">
      <c r="A751" s="30">
        <f t="shared" si="70"/>
        <v>2.3184953783492621</v>
      </c>
      <c r="B751">
        <f t="shared" si="66"/>
        <v>-0.47007264192167492</v>
      </c>
      <c r="C751" s="30">
        <f t="shared" si="68"/>
        <v>0.47007264192167492</v>
      </c>
      <c r="D751" s="30">
        <f t="shared" si="69"/>
        <v>2.3184953783492621</v>
      </c>
      <c r="E751" s="30">
        <f t="shared" si="71"/>
        <v>115.90289999999918</v>
      </c>
      <c r="F751" s="30">
        <f t="shared" si="67"/>
        <v>47.405738856387714</v>
      </c>
    </row>
    <row r="752" spans="1:6">
      <c r="A752" s="30">
        <f t="shared" si="70"/>
        <v>2.3216369710028517</v>
      </c>
      <c r="B752">
        <f t="shared" si="66"/>
        <v>-0.47167183804355584</v>
      </c>
      <c r="C752" s="30">
        <f t="shared" si="68"/>
        <v>0.47167183804355584</v>
      </c>
      <c r="D752" s="30">
        <f t="shared" si="69"/>
        <v>2.3216369710028517</v>
      </c>
      <c r="E752" s="30">
        <f t="shared" si="71"/>
        <v>116.05994999999918</v>
      </c>
      <c r="F752" s="30">
        <f t="shared" si="67"/>
        <v>47.408926552970968</v>
      </c>
    </row>
    <row r="753" spans="1:6">
      <c r="A753" s="30">
        <f t="shared" si="70"/>
        <v>2.3247785636564413</v>
      </c>
      <c r="B753">
        <f t="shared" si="66"/>
        <v>-0.47327056293785474</v>
      </c>
      <c r="C753" s="30">
        <f t="shared" si="68"/>
        <v>0.47327056293785474</v>
      </c>
      <c r="D753" s="30">
        <f t="shared" si="69"/>
        <v>2.3247785636564413</v>
      </c>
      <c r="E753" s="30">
        <f t="shared" si="71"/>
        <v>116.21699999999917</v>
      </c>
      <c r="F753" s="30">
        <f t="shared" si="67"/>
        <v>47.412115131164001</v>
      </c>
    </row>
    <row r="754" spans="1:6">
      <c r="A754" s="30">
        <f t="shared" si="70"/>
        <v>2.3279201563100309</v>
      </c>
      <c r="B754">
        <f t="shared" si="66"/>
        <v>-0.47486884835696069</v>
      </c>
      <c r="C754" s="30">
        <f t="shared" si="68"/>
        <v>0.47486884835696069</v>
      </c>
      <c r="D754" s="30">
        <f t="shared" si="69"/>
        <v>2.3279201563100309</v>
      </c>
      <c r="E754" s="30">
        <f t="shared" si="71"/>
        <v>116.37404999999917</v>
      </c>
      <c r="F754" s="30">
        <f t="shared" si="67"/>
        <v>47.415304465087203</v>
      </c>
    </row>
    <row r="755" spans="1:6">
      <c r="A755" s="30">
        <f t="shared" si="70"/>
        <v>2.3310617489636205</v>
      </c>
      <c r="B755">
        <f t="shared" si="66"/>
        <v>-0.47646672601846318</v>
      </c>
      <c r="C755" s="30">
        <f t="shared" si="68"/>
        <v>0.47646672601846318</v>
      </c>
      <c r="D755" s="30">
        <f t="shared" si="69"/>
        <v>2.3310617489636205</v>
      </c>
      <c r="E755" s="30">
        <f t="shared" si="71"/>
        <v>116.53109999999917</v>
      </c>
      <c r="F755" s="30">
        <f t="shared" si="67"/>
        <v>47.418494428831139</v>
      </c>
    </row>
    <row r="756" spans="1:6">
      <c r="A756" s="30">
        <f t="shared" si="70"/>
        <v>2.3342033416172101</v>
      </c>
      <c r="B756">
        <f t="shared" si="66"/>
        <v>-0.47806422760767575</v>
      </c>
      <c r="C756" s="30">
        <f t="shared" si="68"/>
        <v>0.47806422760767575</v>
      </c>
      <c r="D756" s="30">
        <f t="shared" si="69"/>
        <v>2.3342033416172101</v>
      </c>
      <c r="E756" s="30">
        <f t="shared" si="71"/>
        <v>116.68814999999917</v>
      </c>
      <c r="F756" s="30">
        <f t="shared" si="67"/>
        <v>47.4216848964615</v>
      </c>
    </row>
    <row r="757" spans="1:6">
      <c r="A757" s="30">
        <f t="shared" si="70"/>
        <v>2.3373449342707997</v>
      </c>
      <c r="B757">
        <f t="shared" si="66"/>
        <v>-0.47966138478015569</v>
      </c>
      <c r="C757" s="30">
        <f t="shared" si="68"/>
        <v>0.47966138478015569</v>
      </c>
      <c r="D757" s="30">
        <f t="shared" si="69"/>
        <v>2.3373449342707997</v>
      </c>
      <c r="E757" s="30">
        <f t="shared" si="71"/>
        <v>116.84519999999917</v>
      </c>
      <c r="F757" s="30">
        <f t="shared" si="67"/>
        <v>47.424875742024085</v>
      </c>
    </row>
    <row r="758" spans="1:6">
      <c r="A758" s="30">
        <f t="shared" si="70"/>
        <v>2.3404865269243893</v>
      </c>
      <c r="B758">
        <f t="shared" si="66"/>
        <v>-0.48125822916421729</v>
      </c>
      <c r="C758" s="30">
        <f t="shared" si="68"/>
        <v>0.48125822916421729</v>
      </c>
      <c r="D758" s="30">
        <f t="shared" si="69"/>
        <v>2.3404865269243893</v>
      </c>
      <c r="E758" s="30">
        <f t="shared" si="71"/>
        <v>117.00224999999917</v>
      </c>
      <c r="F758" s="30">
        <f t="shared" si="67"/>
        <v>47.428066839549778</v>
      </c>
    </row>
    <row r="759" spans="1:6">
      <c r="A759" s="30">
        <f t="shared" si="70"/>
        <v>2.3436281195779789</v>
      </c>
      <c r="B759">
        <f t="shared" si="66"/>
        <v>-0.48285479236344164</v>
      </c>
      <c r="C759" s="30">
        <f t="shared" si="68"/>
        <v>0.48285479236344164</v>
      </c>
      <c r="D759" s="30">
        <f t="shared" si="69"/>
        <v>2.3436281195779789</v>
      </c>
      <c r="E759" s="30">
        <f t="shared" si="71"/>
        <v>117.15929999999916</v>
      </c>
      <c r="F759" s="30">
        <f t="shared" si="67"/>
        <v>47.431258063059509</v>
      </c>
    </row>
    <row r="760" spans="1:6">
      <c r="A760" s="30">
        <f t="shared" si="70"/>
        <v>2.3467697122315685</v>
      </c>
      <c r="B760">
        <f t="shared" si="66"/>
        <v>-0.48445110595918184</v>
      </c>
      <c r="C760" s="30">
        <f t="shared" si="68"/>
        <v>0.48445110595918184</v>
      </c>
      <c r="D760" s="30">
        <f t="shared" si="69"/>
        <v>2.3467697122315685</v>
      </c>
      <c r="E760" s="30">
        <f t="shared" si="71"/>
        <v>117.31634999999916</v>
      </c>
      <c r="F760" s="30">
        <f t="shared" si="67"/>
        <v>47.434449286569247</v>
      </c>
    </row>
    <row r="761" spans="1:6">
      <c r="A761" s="30">
        <f t="shared" si="70"/>
        <v>2.3499113048851581</v>
      </c>
      <c r="B761">
        <f t="shared" si="66"/>
        <v>-0.48604720151306419</v>
      </c>
      <c r="C761" s="30">
        <f t="shared" si="68"/>
        <v>0.48604720151306419</v>
      </c>
      <c r="D761" s="30">
        <f t="shared" si="69"/>
        <v>2.3499113048851581</v>
      </c>
      <c r="E761" s="30">
        <f t="shared" si="71"/>
        <v>117.47339999999916</v>
      </c>
      <c r="F761" s="30">
        <f t="shared" si="67"/>
        <v>47.437640384094941</v>
      </c>
    </row>
    <row r="762" spans="1:6">
      <c r="A762" s="30">
        <f t="shared" si="70"/>
        <v>2.3530528975387477</v>
      </c>
      <c r="B762">
        <f t="shared" si="66"/>
        <v>-0.48764311056948667</v>
      </c>
      <c r="C762" s="30">
        <f t="shared" si="68"/>
        <v>0.48764311056948667</v>
      </c>
      <c r="D762" s="30">
        <f t="shared" si="69"/>
        <v>2.3530528975387477</v>
      </c>
      <c r="E762" s="30">
        <f t="shared" si="71"/>
        <v>117.63044999999916</v>
      </c>
      <c r="F762" s="30">
        <f t="shared" si="67"/>
        <v>47.440831229657526</v>
      </c>
    </row>
    <row r="763" spans="1:6">
      <c r="A763" s="30">
        <f t="shared" si="70"/>
        <v>2.3561944901923373</v>
      </c>
      <c r="B763">
        <f t="shared" si="66"/>
        <v>-0.48923886465811395</v>
      </c>
      <c r="C763" s="30">
        <f t="shared" si="68"/>
        <v>0.48923886465811395</v>
      </c>
      <c r="D763" s="30">
        <f t="shared" si="69"/>
        <v>2.3561944901923373</v>
      </c>
      <c r="E763" s="30">
        <f t="shared" si="71"/>
        <v>117.78749999999916</v>
      </c>
      <c r="F763" s="30">
        <f t="shared" si="67"/>
        <v>47.444021697287887</v>
      </c>
    </row>
    <row r="764" spans="1:6">
      <c r="A764" s="30">
        <f t="shared" si="70"/>
        <v>2.3593360828459269</v>
      </c>
      <c r="B764">
        <f t="shared" si="66"/>
        <v>-0.4908344952963703</v>
      </c>
      <c r="C764" s="30">
        <f t="shared" si="68"/>
        <v>0.4908344952963703</v>
      </c>
      <c r="D764" s="30">
        <f t="shared" si="69"/>
        <v>2.3593360828459269</v>
      </c>
      <c r="E764" s="30">
        <f t="shared" si="71"/>
        <v>117.94454999999915</v>
      </c>
      <c r="F764" s="30">
        <f t="shared" si="67"/>
        <v>47.447211661031822</v>
      </c>
    </row>
    <row r="765" spans="1:6">
      <c r="A765" s="30">
        <f t="shared" si="70"/>
        <v>2.3624776754995165</v>
      </c>
      <c r="B765">
        <f t="shared" si="66"/>
        <v>-0.4924300339919303</v>
      </c>
      <c r="C765" s="30">
        <f t="shared" si="68"/>
        <v>0.4924300339919303</v>
      </c>
      <c r="D765" s="30">
        <f t="shared" si="69"/>
        <v>2.3624776754995165</v>
      </c>
      <c r="E765" s="30">
        <f t="shared" si="71"/>
        <v>118.10159999999915</v>
      </c>
      <c r="F765" s="30">
        <f t="shared" si="67"/>
        <v>47.450400994955025</v>
      </c>
    </row>
    <row r="766" spans="1:6">
      <c r="A766" s="30">
        <f t="shared" si="70"/>
        <v>2.3656192681531061</v>
      </c>
      <c r="B766">
        <f t="shared" si="66"/>
        <v>-0.49402551224520808</v>
      </c>
      <c r="C766" s="30">
        <f t="shared" si="68"/>
        <v>0.49402551224520808</v>
      </c>
      <c r="D766" s="30">
        <f t="shared" si="69"/>
        <v>2.3656192681531061</v>
      </c>
      <c r="E766" s="30">
        <f t="shared" si="71"/>
        <v>118.25864999999915</v>
      </c>
      <c r="F766" s="30">
        <f t="shared" si="67"/>
        <v>47.453589573148058</v>
      </c>
    </row>
    <row r="767" spans="1:6">
      <c r="A767" s="30">
        <f t="shared" si="70"/>
        <v>2.3687608608066957</v>
      </c>
      <c r="B767">
        <f t="shared" si="66"/>
        <v>-0.49562096155184493</v>
      </c>
      <c r="C767" s="30">
        <f t="shared" si="68"/>
        <v>0.49562096155184493</v>
      </c>
      <c r="D767" s="30">
        <f t="shared" si="69"/>
        <v>2.3687608608066957</v>
      </c>
      <c r="E767" s="30">
        <f t="shared" si="71"/>
        <v>118.41569999999915</v>
      </c>
      <c r="F767" s="30">
        <f t="shared" si="67"/>
        <v>47.456777269731312</v>
      </c>
    </row>
    <row r="768" spans="1:6">
      <c r="A768" s="30">
        <f t="shared" si="70"/>
        <v>2.3719024534602853</v>
      </c>
      <c r="B768">
        <f t="shared" si="66"/>
        <v>-0.49721641340519662</v>
      </c>
      <c r="C768" s="30">
        <f t="shared" si="68"/>
        <v>0.49721641340519662</v>
      </c>
      <c r="D768" s="30">
        <f t="shared" si="69"/>
        <v>2.3719024534602853</v>
      </c>
      <c r="E768" s="30">
        <f t="shared" si="71"/>
        <v>118.57274999999915</v>
      </c>
      <c r="F768" s="30">
        <f t="shared" si="67"/>
        <v>47.45996395885998</v>
      </c>
    </row>
    <row r="769" spans="1:6">
      <c r="A769" s="30">
        <f t="shared" si="70"/>
        <v>2.3750440461138749</v>
      </c>
      <c r="B769">
        <f t="shared" si="66"/>
        <v>-0.49881189929881992</v>
      </c>
      <c r="C769" s="30">
        <f t="shared" si="68"/>
        <v>0.49881189929881992</v>
      </c>
      <c r="D769" s="30">
        <f t="shared" si="69"/>
        <v>2.3750440461138749</v>
      </c>
      <c r="E769" s="30">
        <f t="shared" si="71"/>
        <v>118.72979999999914</v>
      </c>
      <c r="F769" s="30">
        <f t="shared" si="67"/>
        <v>47.463149514729032</v>
      </c>
    </row>
    <row r="770" spans="1:6">
      <c r="A770" s="30">
        <f t="shared" si="70"/>
        <v>2.3781856387674645</v>
      </c>
      <c r="B770">
        <f t="shared" si="66"/>
        <v>-0.50040745072895954</v>
      </c>
      <c r="C770" s="30">
        <f t="shared" si="68"/>
        <v>0.50040745072895954</v>
      </c>
      <c r="D770" s="30">
        <f t="shared" si="69"/>
        <v>2.3781856387674645</v>
      </c>
      <c r="E770" s="30">
        <f t="shared" si="71"/>
        <v>118.88684999999914</v>
      </c>
      <c r="F770" s="30">
        <f t="shared" si="67"/>
        <v>47.466333811578181</v>
      </c>
    </row>
    <row r="771" spans="1:6">
      <c r="A771" s="30">
        <f t="shared" si="70"/>
        <v>2.3813272314210541</v>
      </c>
      <c r="B771">
        <f t="shared" si="66"/>
        <v>-0.50200309919703501</v>
      </c>
      <c r="C771" s="30">
        <f t="shared" si="68"/>
        <v>0.50200309919703501</v>
      </c>
      <c r="D771" s="30">
        <f t="shared" si="69"/>
        <v>2.3813272314210541</v>
      </c>
      <c r="E771" s="30">
        <f t="shared" si="71"/>
        <v>119.04389999999914</v>
      </c>
      <c r="F771" s="30">
        <f t="shared" si="67"/>
        <v>47.469516723696835</v>
      </c>
    </row>
    <row r="772" spans="1:6">
      <c r="A772" s="30">
        <f t="shared" si="70"/>
        <v>2.3844688240746437</v>
      </c>
      <c r="B772">
        <f t="shared" si="66"/>
        <v>-0.50359887621212907</v>
      </c>
      <c r="C772" s="30">
        <f t="shared" si="68"/>
        <v>0.50359887621212907</v>
      </c>
      <c r="D772" s="30">
        <f t="shared" si="69"/>
        <v>2.3844688240746437</v>
      </c>
      <c r="E772" s="30">
        <f t="shared" si="71"/>
        <v>119.20094999999914</v>
      </c>
      <c r="F772" s="30">
        <f t="shared" si="67"/>
        <v>47.472698125429083</v>
      </c>
    </row>
    <row r="773" spans="1:6">
      <c r="A773" s="30">
        <f t="shared" si="70"/>
        <v>2.3876104167282333</v>
      </c>
      <c r="B773">
        <f t="shared" si="66"/>
        <v>-0.50519481329347682</v>
      </c>
      <c r="C773" s="30">
        <f t="shared" si="68"/>
        <v>0.50519481329347682</v>
      </c>
      <c r="D773" s="30">
        <f t="shared" si="69"/>
        <v>2.3876104167282333</v>
      </c>
      <c r="E773" s="30">
        <f t="shared" si="71"/>
        <v>119.35799999999914</v>
      </c>
      <c r="F773" s="30">
        <f t="shared" si="67"/>
        <v>47.475877891178619</v>
      </c>
    </row>
    <row r="774" spans="1:6">
      <c r="A774" s="30">
        <f t="shared" si="70"/>
        <v>2.3907520093818229</v>
      </c>
      <c r="B774">
        <f t="shared" si="66"/>
        <v>-0.50679094197295671</v>
      </c>
      <c r="C774" s="30">
        <f t="shared" si="68"/>
        <v>0.50679094197295671</v>
      </c>
      <c r="D774" s="30">
        <f t="shared" si="69"/>
        <v>2.3907520093818229</v>
      </c>
      <c r="E774" s="30">
        <f t="shared" si="71"/>
        <v>119.51504999999914</v>
      </c>
      <c r="F774" s="30">
        <f t="shared" si="67"/>
        <v>47.479055895413751</v>
      </c>
    </row>
    <row r="775" spans="1:6">
      <c r="A775" s="30">
        <f t="shared" si="70"/>
        <v>2.3938936020354125</v>
      </c>
      <c r="B775">
        <f t="shared" si="66"/>
        <v>-0.50838729379758385</v>
      </c>
      <c r="C775" s="30">
        <f t="shared" si="68"/>
        <v>0.50838729379758385</v>
      </c>
      <c r="D775" s="30">
        <f t="shared" si="69"/>
        <v>2.3938936020354125</v>
      </c>
      <c r="E775" s="30">
        <f t="shared" si="71"/>
        <v>119.67209999999913</v>
      </c>
      <c r="F775" s="30">
        <f t="shared" si="67"/>
        <v>47.482232012672291</v>
      </c>
    </row>
    <row r="776" spans="1:6">
      <c r="A776" s="30">
        <f t="shared" si="70"/>
        <v>2.3970351946890021</v>
      </c>
      <c r="B776">
        <f t="shared" si="66"/>
        <v>-0.50998390033200558</v>
      </c>
      <c r="C776" s="30">
        <f t="shared" si="68"/>
        <v>0.50998390033200558</v>
      </c>
      <c r="D776" s="30">
        <f t="shared" si="69"/>
        <v>2.3970351946890021</v>
      </c>
      <c r="E776" s="30">
        <f t="shared" si="71"/>
        <v>119.82914999999913</v>
      </c>
      <c r="F776" s="30">
        <f t="shared" si="67"/>
        <v>47.48540611756659</v>
      </c>
    </row>
    <row r="777" spans="1:6">
      <c r="A777" s="30">
        <f t="shared" si="70"/>
        <v>2.4001767873425917</v>
      </c>
      <c r="B777">
        <f t="shared" si="66"/>
        <v>-0.51158079316100025</v>
      </c>
      <c r="C777" s="30">
        <f t="shared" si="68"/>
        <v>0.51158079316100025</v>
      </c>
      <c r="D777" s="30">
        <f t="shared" si="69"/>
        <v>2.4001767873425917</v>
      </c>
      <c r="E777" s="30">
        <f t="shared" si="71"/>
        <v>119.98619999999913</v>
      </c>
      <c r="F777" s="30">
        <f t="shared" si="67"/>
        <v>47.488578084788415</v>
      </c>
    </row>
    <row r="778" spans="1:6">
      <c r="A778" s="30">
        <f t="shared" si="70"/>
        <v>2.4033183799961813</v>
      </c>
      <c r="B778">
        <f t="shared" si="66"/>
        <v>-0.51317800389197932</v>
      </c>
      <c r="C778" s="30">
        <f t="shared" si="68"/>
        <v>0.51317800389197932</v>
      </c>
      <c r="D778" s="30">
        <f t="shared" si="69"/>
        <v>2.4033183799961813</v>
      </c>
      <c r="E778" s="30">
        <f t="shared" si="71"/>
        <v>120.14324999999913</v>
      </c>
      <c r="F778" s="30">
        <f t="shared" si="67"/>
        <v>47.49174778911393</v>
      </c>
    </row>
    <row r="779" spans="1:6">
      <c r="A779" s="30">
        <f t="shared" si="70"/>
        <v>2.4064599726497709</v>
      </c>
      <c r="B779">
        <f t="shared" si="66"/>
        <v>-0.51477556415749282</v>
      </c>
      <c r="C779" s="30">
        <f t="shared" si="68"/>
        <v>0.51477556415749282</v>
      </c>
      <c r="D779" s="30">
        <f t="shared" si="69"/>
        <v>2.4064599726497709</v>
      </c>
      <c r="E779" s="30">
        <f t="shared" si="71"/>
        <v>120.30029999999913</v>
      </c>
      <c r="F779" s="30">
        <f t="shared" si="67"/>
        <v>47.49491510540863</v>
      </c>
    </row>
    <row r="780" spans="1:6">
      <c r="A780" s="30">
        <f t="shared" si="70"/>
        <v>2.4096015653033604</v>
      </c>
      <c r="B780">
        <f t="shared" si="66"/>
        <v>-0.51637350561773998</v>
      </c>
      <c r="C780" s="30">
        <f t="shared" si="68"/>
        <v>0.51637350561773998</v>
      </c>
      <c r="D780" s="30">
        <f t="shared" si="69"/>
        <v>2.4096015653033604</v>
      </c>
      <c r="E780" s="30">
        <f t="shared" si="71"/>
        <v>120.45734999999912</v>
      </c>
      <c r="F780" s="30">
        <f t="shared" si="67"/>
        <v>47.498079908632299</v>
      </c>
    </row>
    <row r="781" spans="1:6">
      <c r="A781" s="30">
        <f t="shared" si="70"/>
        <v>2.41274315795695</v>
      </c>
      <c r="B781">
        <f t="shared" ref="B781:B844" si="72">$H$3*(SIN($H$4+A781)-SIN($H$5+A781))/(SIN($H$4+A781)-SIN(A781))-$H$6</f>
        <v>-0.51797185996308359</v>
      </c>
      <c r="C781" s="30">
        <f t="shared" si="68"/>
        <v>0.51797185996308359</v>
      </c>
      <c r="D781" s="30">
        <f t="shared" si="69"/>
        <v>2.41274315795695</v>
      </c>
      <c r="E781" s="30">
        <f t="shared" si="71"/>
        <v>120.61439999999912</v>
      </c>
      <c r="F781" s="30">
        <f t="shared" ref="F781:F844" si="73">$M$5*SIN(2*PI()/$B$7*E781+$M$4)+$M$6</f>
        <v>47.501242073843926</v>
      </c>
    </row>
    <row r="782" spans="1:6">
      <c r="A782" s="30">
        <f t="shared" si="70"/>
        <v>2.4158847506105396</v>
      </c>
      <c r="B782">
        <f t="shared" si="72"/>
        <v>-0.51957065891656995</v>
      </c>
      <c r="C782" s="30">
        <f t="shared" ref="C782:C845" si="74">ABS(B782)</f>
        <v>0.51957065891656995</v>
      </c>
      <c r="D782" s="30">
        <f t="shared" ref="D782:D845" si="75">A782</f>
        <v>2.4158847506105396</v>
      </c>
      <c r="E782" s="30">
        <f t="shared" si="71"/>
        <v>120.77144999999912</v>
      </c>
      <c r="F782" s="30">
        <f t="shared" si="73"/>
        <v>47.504401476206631</v>
      </c>
    </row>
    <row r="783" spans="1:6">
      <c r="A783" s="30">
        <f t="shared" ref="A783:A846" si="76">A782+PI()/1000</f>
        <v>2.4190263432641292</v>
      </c>
      <c r="B783">
        <f t="shared" si="72"/>
        <v>-0.5211699342364543</v>
      </c>
      <c r="C783" s="30">
        <f t="shared" si="74"/>
        <v>0.5211699342364543</v>
      </c>
      <c r="D783" s="30">
        <f t="shared" si="75"/>
        <v>2.4190263432641292</v>
      </c>
      <c r="E783" s="30">
        <f t="shared" ref="E783:E846" si="77">E782+$B$7/1000</f>
        <v>120.92849999999912</v>
      </c>
      <c r="F783" s="30">
        <f t="shared" si="73"/>
        <v>47.50755799099263</v>
      </c>
    </row>
    <row r="784" spans="1:6">
      <c r="A784" s="30">
        <f t="shared" si="76"/>
        <v>2.4221679359177188</v>
      </c>
      <c r="B784">
        <f t="shared" si="72"/>
        <v>-0.52276971771873149</v>
      </c>
      <c r="C784" s="30">
        <f t="shared" si="74"/>
        <v>0.52276971771873149</v>
      </c>
      <c r="D784" s="30">
        <f t="shared" si="75"/>
        <v>2.4221679359177188</v>
      </c>
      <c r="E784" s="30">
        <f t="shared" si="77"/>
        <v>121.08554999999912</v>
      </c>
      <c r="F784" s="30">
        <f t="shared" si="73"/>
        <v>47.510711493588126</v>
      </c>
    </row>
    <row r="785" spans="1:6">
      <c r="A785" s="30">
        <f t="shared" si="76"/>
        <v>2.4253095285713084</v>
      </c>
      <c r="B785">
        <f t="shared" si="72"/>
        <v>-0.52437004119967445</v>
      </c>
      <c r="C785" s="30">
        <f t="shared" si="74"/>
        <v>0.52437004119967445</v>
      </c>
      <c r="D785" s="30">
        <f t="shared" si="75"/>
        <v>2.4253095285713084</v>
      </c>
      <c r="E785" s="30">
        <f t="shared" si="77"/>
        <v>121.24259999999911</v>
      </c>
      <c r="F785" s="30">
        <f t="shared" si="73"/>
        <v>47.513861859498228</v>
      </c>
    </row>
    <row r="786" spans="1:6">
      <c r="A786" s="30">
        <f t="shared" si="76"/>
        <v>2.428451121224898</v>
      </c>
      <c r="B786">
        <f t="shared" si="72"/>
        <v>-0.5259709365583779</v>
      </c>
      <c r="C786" s="30">
        <f t="shared" si="74"/>
        <v>0.5259709365583779</v>
      </c>
      <c r="D786" s="30">
        <f t="shared" si="75"/>
        <v>2.428451121224898</v>
      </c>
      <c r="E786" s="30">
        <f t="shared" si="77"/>
        <v>121.39964999999911</v>
      </c>
      <c r="F786" s="30">
        <f t="shared" si="73"/>
        <v>47.517008964351881</v>
      </c>
    </row>
    <row r="787" spans="1:6">
      <c r="A787" s="30">
        <f t="shared" si="76"/>
        <v>2.4315927138784876</v>
      </c>
      <c r="B787">
        <f t="shared" si="72"/>
        <v>-0.52757243571931012</v>
      </c>
      <c r="C787" s="30">
        <f t="shared" si="74"/>
        <v>0.52757243571931012</v>
      </c>
      <c r="D787" s="30">
        <f t="shared" si="75"/>
        <v>2.4315927138784876</v>
      </c>
      <c r="E787" s="30">
        <f t="shared" si="77"/>
        <v>121.55669999999911</v>
      </c>
      <c r="F787" s="30">
        <f t="shared" si="73"/>
        <v>47.520152683906787</v>
      </c>
    </row>
    <row r="788" spans="1:6">
      <c r="A788" s="30">
        <f t="shared" si="76"/>
        <v>2.4347343065320772</v>
      </c>
      <c r="B788">
        <f t="shared" si="72"/>
        <v>-0.5291745706548725</v>
      </c>
      <c r="C788" s="30">
        <f t="shared" si="74"/>
        <v>0.5291745706548725</v>
      </c>
      <c r="D788" s="30">
        <f t="shared" si="75"/>
        <v>2.4347343065320772</v>
      </c>
      <c r="E788" s="30">
        <f t="shared" si="77"/>
        <v>121.71374999999911</v>
      </c>
      <c r="F788" s="30">
        <f t="shared" si="73"/>
        <v>47.523292894054272</v>
      </c>
    </row>
    <row r="789" spans="1:6">
      <c r="A789" s="30">
        <f t="shared" si="76"/>
        <v>2.4378758991856668</v>
      </c>
      <c r="B789">
        <f t="shared" si="72"/>
        <v>-0.53077737338796682</v>
      </c>
      <c r="C789" s="30">
        <f t="shared" si="74"/>
        <v>0.53077737338796682</v>
      </c>
      <c r="D789" s="30">
        <f t="shared" si="75"/>
        <v>2.4378758991856668</v>
      </c>
      <c r="E789" s="30">
        <f t="shared" si="77"/>
        <v>121.87079999999911</v>
      </c>
      <c r="F789" s="30">
        <f t="shared" si="73"/>
        <v>47.526429470824212</v>
      </c>
    </row>
    <row r="790" spans="1:6">
      <c r="A790" s="30">
        <f t="shared" si="76"/>
        <v>2.4410174918392564</v>
      </c>
      <c r="B790">
        <f t="shared" si="72"/>
        <v>-0.53238087599457073</v>
      </c>
      <c r="C790" s="30">
        <f t="shared" si="74"/>
        <v>0.53238087599457073</v>
      </c>
      <c r="D790" s="30">
        <f t="shared" si="75"/>
        <v>2.4410174918392564</v>
      </c>
      <c r="E790" s="30">
        <f t="shared" si="77"/>
        <v>122.02784999999911</v>
      </c>
      <c r="F790" s="30">
        <f t="shared" si="73"/>
        <v>47.52956229038994</v>
      </c>
    </row>
    <row r="791" spans="1:6">
      <c r="A791" s="30">
        <f t="shared" si="76"/>
        <v>2.444159084492846</v>
      </c>
      <c r="B791">
        <f t="shared" si="72"/>
        <v>-0.53398511060632337</v>
      </c>
      <c r="C791" s="30">
        <f t="shared" si="74"/>
        <v>0.53398511060632337</v>
      </c>
      <c r="D791" s="30">
        <f t="shared" si="75"/>
        <v>2.444159084492846</v>
      </c>
      <c r="E791" s="30">
        <f t="shared" si="77"/>
        <v>122.1848999999991</v>
      </c>
      <c r="F791" s="30">
        <f t="shared" si="73"/>
        <v>47.532691229073095</v>
      </c>
    </row>
    <row r="792" spans="1:6">
      <c r="A792" s="30">
        <f t="shared" si="76"/>
        <v>2.4473006771464356</v>
      </c>
      <c r="B792">
        <f t="shared" si="72"/>
        <v>-0.53559010941311935</v>
      </c>
      <c r="C792" s="30">
        <f t="shared" si="74"/>
        <v>0.53559010941311935</v>
      </c>
      <c r="D792" s="30">
        <f t="shared" si="75"/>
        <v>2.4473006771464356</v>
      </c>
      <c r="E792" s="30">
        <f t="shared" si="77"/>
        <v>122.3419499999991</v>
      </c>
      <c r="F792" s="30">
        <f t="shared" si="73"/>
        <v>47.535816163348535</v>
      </c>
    </row>
    <row r="793" spans="1:6">
      <c r="A793" s="30">
        <f t="shared" si="76"/>
        <v>2.4504422698000252</v>
      </c>
      <c r="B793">
        <f t="shared" si="72"/>
        <v>-0.53719590466571276</v>
      </c>
      <c r="C793" s="30">
        <f t="shared" si="74"/>
        <v>0.53719590466571276</v>
      </c>
      <c r="D793" s="30">
        <f t="shared" si="75"/>
        <v>2.4504422698000252</v>
      </c>
      <c r="E793" s="30">
        <f t="shared" si="77"/>
        <v>122.4989999999991</v>
      </c>
      <c r="F793" s="30">
        <f t="shared" si="73"/>
        <v>47.53893696984921</v>
      </c>
    </row>
    <row r="794" spans="1:6">
      <c r="A794" s="30">
        <f t="shared" si="76"/>
        <v>2.4535838624536148</v>
      </c>
      <c r="B794">
        <f t="shared" si="72"/>
        <v>-0.53880252867833223</v>
      </c>
      <c r="C794" s="30">
        <f t="shared" si="74"/>
        <v>0.53880252867833223</v>
      </c>
      <c r="D794" s="30">
        <f t="shared" si="75"/>
        <v>2.4535838624536148</v>
      </c>
      <c r="E794" s="30">
        <f t="shared" si="77"/>
        <v>122.6560499999991</v>
      </c>
      <c r="F794" s="30">
        <f t="shared" si="73"/>
        <v>47.542053525371024</v>
      </c>
    </row>
    <row r="795" spans="1:6">
      <c r="A795" s="30">
        <f t="shared" si="76"/>
        <v>2.4567254551072044</v>
      </c>
      <c r="B795">
        <f t="shared" si="72"/>
        <v>-0.54041001383130594</v>
      </c>
      <c r="C795" s="30">
        <f t="shared" si="74"/>
        <v>0.54041001383130594</v>
      </c>
      <c r="D795" s="30">
        <f t="shared" si="75"/>
        <v>2.4567254551072044</v>
      </c>
      <c r="E795" s="30">
        <f t="shared" si="77"/>
        <v>122.8130999999991</v>
      </c>
      <c r="F795" s="30">
        <f t="shared" si="73"/>
        <v>47.545165706877697</v>
      </c>
    </row>
    <row r="796" spans="1:6">
      <c r="A796" s="30">
        <f t="shared" si="76"/>
        <v>2.459867047760794</v>
      </c>
      <c r="B796">
        <f t="shared" si="72"/>
        <v>-0.5420183925736981</v>
      </c>
      <c r="C796" s="30">
        <f t="shared" si="74"/>
        <v>0.5420183925736981</v>
      </c>
      <c r="D796" s="30">
        <f t="shared" si="75"/>
        <v>2.459867047760794</v>
      </c>
      <c r="E796" s="30">
        <f t="shared" si="77"/>
        <v>122.97014999999909</v>
      </c>
      <c r="F796" s="30">
        <f t="shared" si="73"/>
        <v>47.548273391505631</v>
      </c>
    </row>
    <row r="797" spans="1:6">
      <c r="A797" s="30">
        <f t="shared" si="76"/>
        <v>2.4630086404143836</v>
      </c>
      <c r="B797">
        <f t="shared" si="72"/>
        <v>-0.54362769742595751</v>
      </c>
      <c r="C797" s="30">
        <f t="shared" si="74"/>
        <v>0.54362769742595751</v>
      </c>
      <c r="D797" s="30">
        <f t="shared" si="75"/>
        <v>2.4630086404143836</v>
      </c>
      <c r="E797" s="30">
        <f t="shared" si="77"/>
        <v>123.12719999999909</v>
      </c>
      <c r="F797" s="30">
        <f t="shared" si="73"/>
        <v>47.551376456568761</v>
      </c>
    </row>
    <row r="798" spans="1:6">
      <c r="A798" s="30">
        <f t="shared" si="76"/>
        <v>2.4661502330679732</v>
      </c>
      <c r="B798">
        <f t="shared" si="72"/>
        <v>-0.54523796098257815</v>
      </c>
      <c r="C798" s="30">
        <f t="shared" si="74"/>
        <v>0.54523796098257815</v>
      </c>
      <c r="D798" s="30">
        <f t="shared" si="75"/>
        <v>2.4661502330679732</v>
      </c>
      <c r="E798" s="30">
        <f t="shared" si="77"/>
        <v>123.28424999999909</v>
      </c>
      <c r="F798" s="30">
        <f t="shared" si="73"/>
        <v>47.554474779563385</v>
      </c>
    </row>
    <row r="799" spans="1:6">
      <c r="A799" s="30">
        <f t="shared" si="76"/>
        <v>2.4692918257215628</v>
      </c>
      <c r="B799">
        <f t="shared" si="72"/>
        <v>-0.54684921591477165</v>
      </c>
      <c r="C799" s="30">
        <f t="shared" si="74"/>
        <v>0.54684921591477165</v>
      </c>
      <c r="D799" s="30">
        <f t="shared" si="75"/>
        <v>2.4692918257215628</v>
      </c>
      <c r="E799" s="30">
        <f t="shared" si="77"/>
        <v>123.44129999999909</v>
      </c>
      <c r="F799" s="30">
        <f t="shared" si="73"/>
        <v>47.557568238173033</v>
      </c>
    </row>
    <row r="800" spans="1:6">
      <c r="A800" s="30">
        <f t="shared" si="76"/>
        <v>2.4724334183751524</v>
      </c>
      <c r="B800">
        <f t="shared" si="72"/>
        <v>-0.548461494973154</v>
      </c>
      <c r="C800" s="30">
        <f t="shared" si="74"/>
        <v>0.548461494973154</v>
      </c>
      <c r="D800" s="30">
        <f t="shared" si="75"/>
        <v>2.4724334183751524</v>
      </c>
      <c r="E800" s="30">
        <f t="shared" si="77"/>
        <v>123.59834999999909</v>
      </c>
      <c r="F800" s="30">
        <f t="shared" si="73"/>
        <v>47.560656710273236</v>
      </c>
    </row>
    <row r="801" spans="1:6">
      <c r="A801" s="30">
        <f t="shared" si="76"/>
        <v>2.475575011028742</v>
      </c>
      <c r="B801">
        <f t="shared" si="72"/>
        <v>-0.55007483099044518</v>
      </c>
      <c r="C801" s="30">
        <f t="shared" si="74"/>
        <v>0.55007483099044518</v>
      </c>
      <c r="D801" s="30">
        <f t="shared" si="75"/>
        <v>2.475575011028742</v>
      </c>
      <c r="E801" s="30">
        <f t="shared" si="77"/>
        <v>123.75539999999909</v>
      </c>
      <c r="F801" s="30">
        <f t="shared" si="73"/>
        <v>47.563740073936422</v>
      </c>
    </row>
    <row r="802" spans="1:6">
      <c r="A802" s="30">
        <f t="shared" si="76"/>
        <v>2.4787166036823316</v>
      </c>
      <c r="B802">
        <f t="shared" si="72"/>
        <v>-0.55168925688418302</v>
      </c>
      <c r="C802" s="30">
        <f t="shared" si="74"/>
        <v>0.55168925688418302</v>
      </c>
      <c r="D802" s="30">
        <f t="shared" si="75"/>
        <v>2.4787166036823316</v>
      </c>
      <c r="E802" s="30">
        <f t="shared" si="77"/>
        <v>123.91244999999908</v>
      </c>
      <c r="F802" s="30">
        <f t="shared" si="73"/>
        <v>47.566818207436654</v>
      </c>
    </row>
    <row r="803" spans="1:6">
      <c r="A803" s="30">
        <f t="shared" si="76"/>
        <v>2.4818581963359212</v>
      </c>
      <c r="B803">
        <f t="shared" si="72"/>
        <v>-0.55330480565945162</v>
      </c>
      <c r="C803" s="30">
        <f t="shared" si="74"/>
        <v>0.55330480565945162</v>
      </c>
      <c r="D803" s="30">
        <f t="shared" si="75"/>
        <v>2.4818581963359212</v>
      </c>
      <c r="E803" s="30">
        <f t="shared" si="77"/>
        <v>124.06949999999908</v>
      </c>
      <c r="F803" s="30">
        <f t="shared" si="73"/>
        <v>47.56989098925451</v>
      </c>
    </row>
    <row r="804" spans="1:6">
      <c r="A804" s="30">
        <f t="shared" si="76"/>
        <v>2.4849997889895108</v>
      </c>
      <c r="B804">
        <f t="shared" si="72"/>
        <v>-0.55492151041162452</v>
      </c>
      <c r="C804" s="30">
        <f t="shared" si="74"/>
        <v>0.55492151041162452</v>
      </c>
      <c r="D804" s="30">
        <f t="shared" si="75"/>
        <v>2.4849997889895108</v>
      </c>
      <c r="E804" s="30">
        <f t="shared" si="77"/>
        <v>124.22654999999908</v>
      </c>
      <c r="F804" s="30">
        <f t="shared" si="73"/>
        <v>47.572958298081815</v>
      </c>
    </row>
    <row r="805" spans="1:6">
      <c r="A805" s="30">
        <f t="shared" si="76"/>
        <v>2.4881413816431004</v>
      </c>
      <c r="B805">
        <f t="shared" si="72"/>
        <v>-0.55653940432912419</v>
      </c>
      <c r="C805" s="30">
        <f t="shared" si="74"/>
        <v>0.55653940432912419</v>
      </c>
      <c r="D805" s="30">
        <f t="shared" si="75"/>
        <v>2.4881413816431004</v>
      </c>
      <c r="E805" s="30">
        <f t="shared" si="77"/>
        <v>124.38359999999908</v>
      </c>
      <c r="F805" s="30">
        <f t="shared" si="73"/>
        <v>47.576020012826469</v>
      </c>
    </row>
    <row r="806" spans="1:6">
      <c r="A806" s="30">
        <f t="shared" si="76"/>
        <v>2.49128297429669</v>
      </c>
      <c r="B806">
        <f t="shared" si="72"/>
        <v>-0.5581585206961962</v>
      </c>
      <c r="C806" s="30">
        <f t="shared" si="74"/>
        <v>0.5581585206961962</v>
      </c>
      <c r="D806" s="30">
        <f t="shared" si="75"/>
        <v>2.49128297429669</v>
      </c>
      <c r="E806" s="30">
        <f t="shared" si="77"/>
        <v>124.54064999999908</v>
      </c>
      <c r="F806" s="30">
        <f t="shared" si="73"/>
        <v>47.579076012617222</v>
      </c>
    </row>
    <row r="807" spans="1:6">
      <c r="A807" s="30">
        <f t="shared" si="76"/>
        <v>2.4944245669502796</v>
      </c>
      <c r="B807">
        <f t="shared" si="72"/>
        <v>-0.55977889289570137</v>
      </c>
      <c r="C807" s="30">
        <f t="shared" si="74"/>
        <v>0.55977889289570137</v>
      </c>
      <c r="D807" s="30">
        <f t="shared" si="75"/>
        <v>2.4944245669502796</v>
      </c>
      <c r="E807" s="30">
        <f t="shared" si="77"/>
        <v>124.69769999999907</v>
      </c>
      <c r="F807" s="30">
        <f t="shared" si="73"/>
        <v>47.58212617680843</v>
      </c>
    </row>
    <row r="808" spans="1:6">
      <c r="A808" s="30">
        <f t="shared" si="76"/>
        <v>2.4975661596038692</v>
      </c>
      <c r="B808">
        <f t="shared" si="72"/>
        <v>-0.56140055441192427</v>
      </c>
      <c r="C808" s="30">
        <f t="shared" si="74"/>
        <v>0.56140055441192427</v>
      </c>
      <c r="D808" s="30">
        <f t="shared" si="75"/>
        <v>2.4975661596038692</v>
      </c>
      <c r="E808" s="30">
        <f t="shared" si="77"/>
        <v>124.85474999999907</v>
      </c>
      <c r="F808" s="30">
        <f t="shared" si="73"/>
        <v>47.585170384984828</v>
      </c>
    </row>
    <row r="809" spans="1:6">
      <c r="A809" s="30">
        <f t="shared" si="76"/>
        <v>2.5007077522574588</v>
      </c>
      <c r="B809">
        <f t="shared" si="72"/>
        <v>-0.56302353883339851</v>
      </c>
      <c r="C809" s="30">
        <f t="shared" si="74"/>
        <v>0.56302353883339851</v>
      </c>
      <c r="D809" s="30">
        <f t="shared" si="75"/>
        <v>2.5007077522574588</v>
      </c>
      <c r="E809" s="30">
        <f t="shared" si="77"/>
        <v>125.01179999999907</v>
      </c>
      <c r="F809" s="30">
        <f t="shared" si="73"/>
        <v>47.588208516966304</v>
      </c>
    </row>
    <row r="810" spans="1:6">
      <c r="A810" s="30">
        <f t="shared" si="76"/>
        <v>2.5038493449110484</v>
      </c>
      <c r="B810">
        <f t="shared" si="72"/>
        <v>-0.56464787985575216</v>
      </c>
      <c r="C810" s="30">
        <f t="shared" si="74"/>
        <v>0.56464787985575216</v>
      </c>
      <c r="D810" s="30">
        <f t="shared" si="75"/>
        <v>2.5038493449110484</v>
      </c>
      <c r="E810" s="30">
        <f t="shared" si="77"/>
        <v>125.16884999999907</v>
      </c>
      <c r="F810" s="30">
        <f t="shared" si="73"/>
        <v>47.591240452812599</v>
      </c>
    </row>
    <row r="811" spans="1:6">
      <c r="A811" s="30">
        <f t="shared" si="76"/>
        <v>2.506990937564638</v>
      </c>
      <c r="B811">
        <f t="shared" si="72"/>
        <v>-0.5662736112845691</v>
      </c>
      <c r="C811" s="30">
        <f t="shared" si="74"/>
        <v>0.5662736112845691</v>
      </c>
      <c r="D811" s="30">
        <f t="shared" si="75"/>
        <v>2.506990937564638</v>
      </c>
      <c r="E811" s="30">
        <f t="shared" si="77"/>
        <v>125.32589999999907</v>
      </c>
      <c r="F811" s="30">
        <f t="shared" si="73"/>
        <v>47.594266072828084</v>
      </c>
    </row>
    <row r="812" spans="1:6">
      <c r="A812" s="30">
        <f t="shared" si="76"/>
        <v>2.5101325302182276</v>
      </c>
      <c r="B812">
        <f t="shared" si="72"/>
        <v>-0.56790076703827186</v>
      </c>
      <c r="C812" s="30">
        <f t="shared" si="74"/>
        <v>0.56790076703827186</v>
      </c>
      <c r="D812" s="30">
        <f t="shared" si="75"/>
        <v>2.5101325302182276</v>
      </c>
      <c r="E812" s="30">
        <f t="shared" si="77"/>
        <v>125.48294999999906</v>
      </c>
      <c r="F812" s="30">
        <f t="shared" si="73"/>
        <v>47.597285257566455</v>
      </c>
    </row>
    <row r="813" spans="1:6">
      <c r="A813" s="30">
        <f t="shared" si="76"/>
        <v>2.5132741228718172</v>
      </c>
      <c r="B813">
        <f t="shared" si="72"/>
        <v>-0.56952938115102236</v>
      </c>
      <c r="C813" s="30">
        <f t="shared" si="74"/>
        <v>0.56952938115102236</v>
      </c>
      <c r="D813" s="30">
        <f t="shared" si="75"/>
        <v>2.5132741228718172</v>
      </c>
      <c r="E813" s="30">
        <f t="shared" si="77"/>
        <v>125.63999999999906</v>
      </c>
      <c r="F813" s="30">
        <f t="shared" si="73"/>
        <v>47.600297887835474</v>
      </c>
    </row>
    <row r="814" spans="1:6">
      <c r="A814" s="30">
        <f t="shared" si="76"/>
        <v>2.5164157155254068</v>
      </c>
      <c r="B814">
        <f t="shared" si="72"/>
        <v>-0.57115948777564407</v>
      </c>
      <c r="C814" s="30">
        <f t="shared" si="74"/>
        <v>0.57115948777564407</v>
      </c>
      <c r="D814" s="30">
        <f t="shared" si="75"/>
        <v>2.5164157155254068</v>
      </c>
      <c r="E814" s="30">
        <f t="shared" si="77"/>
        <v>125.79704999999906</v>
      </c>
      <c r="F814" s="30">
        <f t="shared" si="73"/>
        <v>47.603303844701649</v>
      </c>
    </row>
    <row r="815" spans="1:6">
      <c r="A815" s="30">
        <f t="shared" si="76"/>
        <v>2.5195573081789964</v>
      </c>
      <c r="B815">
        <f t="shared" si="72"/>
        <v>-0.57279112118656406</v>
      </c>
      <c r="C815" s="30">
        <f t="shared" si="74"/>
        <v>0.57279112118656406</v>
      </c>
      <c r="D815" s="30">
        <f t="shared" si="75"/>
        <v>2.5195573081789964</v>
      </c>
      <c r="E815" s="30">
        <f t="shared" si="77"/>
        <v>125.95409999999906</v>
      </c>
      <c r="F815" s="30">
        <f t="shared" si="73"/>
        <v>47.606303009494958</v>
      </c>
    </row>
    <row r="816" spans="1:6">
      <c r="A816" s="30">
        <f t="shared" si="76"/>
        <v>2.522698900832586</v>
      </c>
      <c r="B816">
        <f t="shared" si="72"/>
        <v>-0.57442431578277686</v>
      </c>
      <c r="C816" s="30">
        <f t="shared" si="74"/>
        <v>0.57442431578277686</v>
      </c>
      <c r="D816" s="30">
        <f t="shared" si="75"/>
        <v>2.522698900832586</v>
      </c>
      <c r="E816" s="30">
        <f t="shared" si="77"/>
        <v>126.11114999999906</v>
      </c>
      <c r="F816" s="30">
        <f t="shared" si="73"/>
        <v>47.6092952638135</v>
      </c>
    </row>
    <row r="817" spans="1:6">
      <c r="A817" s="30">
        <f t="shared" si="76"/>
        <v>2.5258404934861756</v>
      </c>
      <c r="B817">
        <f t="shared" si="72"/>
        <v>-0.57605910609082989</v>
      </c>
      <c r="C817" s="30">
        <f t="shared" si="74"/>
        <v>0.57605910609082989</v>
      </c>
      <c r="D817" s="30">
        <f t="shared" si="75"/>
        <v>2.5258404934861756</v>
      </c>
      <c r="E817" s="30">
        <f t="shared" si="77"/>
        <v>126.26819999999906</v>
      </c>
      <c r="F817" s="30">
        <f t="shared" si="73"/>
        <v>47.61228048952821</v>
      </c>
    </row>
    <row r="818" spans="1:6">
      <c r="A818" s="30">
        <f t="shared" si="76"/>
        <v>2.5289820861397652</v>
      </c>
      <c r="B818">
        <f t="shared" si="72"/>
        <v>-0.57769552676783076</v>
      </c>
      <c r="C818" s="30">
        <f t="shared" si="74"/>
        <v>0.57769552676783076</v>
      </c>
      <c r="D818" s="30">
        <f t="shared" si="75"/>
        <v>2.5289820861397652</v>
      </c>
      <c r="E818" s="30">
        <f t="shared" si="77"/>
        <v>126.42524999999905</v>
      </c>
      <c r="F818" s="30">
        <f t="shared" si="73"/>
        <v>47.615258568787482</v>
      </c>
    </row>
    <row r="819" spans="1:6">
      <c r="A819" s="30">
        <f t="shared" si="76"/>
        <v>2.5321236787933548</v>
      </c>
      <c r="B819">
        <f t="shared" si="72"/>
        <v>-0.57933361260447958</v>
      </c>
      <c r="C819" s="30">
        <f t="shared" si="74"/>
        <v>0.57933361260447958</v>
      </c>
      <c r="D819" s="30">
        <f t="shared" si="75"/>
        <v>2.5321236787933548</v>
      </c>
      <c r="E819" s="30">
        <f t="shared" si="77"/>
        <v>126.58229999999905</v>
      </c>
      <c r="F819" s="30">
        <f t="shared" si="73"/>
        <v>47.618229384021852</v>
      </c>
    </row>
    <row r="820" spans="1:6">
      <c r="A820" s="30">
        <f t="shared" si="76"/>
        <v>2.5352652714469444</v>
      </c>
      <c r="B820">
        <f t="shared" si="72"/>
        <v>-0.58097339852812158</v>
      </c>
      <c r="C820" s="30">
        <f t="shared" si="74"/>
        <v>0.58097339852812158</v>
      </c>
      <c r="D820" s="30">
        <f t="shared" si="75"/>
        <v>2.5352652714469444</v>
      </c>
      <c r="E820" s="30">
        <f t="shared" si="77"/>
        <v>126.73934999999905</v>
      </c>
      <c r="F820" s="30">
        <f t="shared" si="73"/>
        <v>47.621192817948611</v>
      </c>
    </row>
    <row r="821" spans="1:6">
      <c r="A821" s="30">
        <f t="shared" si="76"/>
        <v>2.538406864100534</v>
      </c>
      <c r="B821">
        <f t="shared" si="72"/>
        <v>-0.58261491960582712</v>
      </c>
      <c r="C821" s="30">
        <f t="shared" si="74"/>
        <v>0.58261491960582712</v>
      </c>
      <c r="D821" s="30">
        <f t="shared" si="75"/>
        <v>2.538406864100534</v>
      </c>
      <c r="E821" s="30">
        <f t="shared" si="77"/>
        <v>126.89639999999905</v>
      </c>
      <c r="F821" s="30">
        <f t="shared" si="73"/>
        <v>47.62414875357647</v>
      </c>
    </row>
    <row r="822" spans="1:6">
      <c r="A822" s="30">
        <f t="shared" si="76"/>
        <v>2.5415484567541236</v>
      </c>
      <c r="B822">
        <f t="shared" si="72"/>
        <v>-0.5842582110474942</v>
      </c>
      <c r="C822" s="30">
        <f t="shared" si="74"/>
        <v>0.5842582110474942</v>
      </c>
      <c r="D822" s="30">
        <f t="shared" si="75"/>
        <v>2.5415484567541236</v>
      </c>
      <c r="E822" s="30">
        <f t="shared" si="77"/>
        <v>127.05344999999905</v>
      </c>
      <c r="F822" s="30">
        <f t="shared" si="73"/>
        <v>47.627097074210148</v>
      </c>
    </row>
    <row r="823" spans="1:6">
      <c r="A823" s="30">
        <f t="shared" si="76"/>
        <v>2.5446900494077132</v>
      </c>
      <c r="B823">
        <f t="shared" si="72"/>
        <v>-0.58590330820897762</v>
      </c>
      <c r="C823" s="30">
        <f t="shared" si="74"/>
        <v>0.58590330820897762</v>
      </c>
      <c r="D823" s="30">
        <f t="shared" si="75"/>
        <v>2.5446900494077132</v>
      </c>
      <c r="E823" s="30">
        <f t="shared" si="77"/>
        <v>127.21049999999904</v>
      </c>
      <c r="F823" s="30">
        <f t="shared" si="73"/>
        <v>47.630037663454992</v>
      </c>
    </row>
    <row r="824" spans="1:6">
      <c r="A824" s="30">
        <f t="shared" si="76"/>
        <v>2.5478316420613027</v>
      </c>
      <c r="B824">
        <f t="shared" si="72"/>
        <v>-0.5875502465952428</v>
      </c>
      <c r="C824" s="30">
        <f t="shared" si="74"/>
        <v>0.5875502465952428</v>
      </c>
      <c r="D824" s="30">
        <f t="shared" si="75"/>
        <v>2.5478316420613027</v>
      </c>
      <c r="E824" s="30">
        <f t="shared" si="77"/>
        <v>127.36754999999904</v>
      </c>
      <c r="F824" s="30">
        <f t="shared" si="73"/>
        <v>47.632970405221585</v>
      </c>
    </row>
    <row r="825" spans="1:6">
      <c r="A825" s="30">
        <f t="shared" si="76"/>
        <v>2.5509732347148923</v>
      </c>
      <c r="B825">
        <f t="shared" si="72"/>
        <v>-0.58919906186354776</v>
      </c>
      <c r="C825" s="30">
        <f t="shared" si="74"/>
        <v>0.58919906186354776</v>
      </c>
      <c r="D825" s="30">
        <f t="shared" si="75"/>
        <v>2.5509732347148923</v>
      </c>
      <c r="E825" s="30">
        <f t="shared" si="77"/>
        <v>127.52459999999904</v>
      </c>
      <c r="F825" s="30">
        <f t="shared" si="73"/>
        <v>47.635895183730291</v>
      </c>
    </row>
    <row r="826" spans="1:6">
      <c r="A826" s="30">
        <f t="shared" si="76"/>
        <v>2.5541148273684819</v>
      </c>
      <c r="B826">
        <f t="shared" si="72"/>
        <v>-0.59084978982665082</v>
      </c>
      <c r="C826" s="30">
        <f t="shared" si="74"/>
        <v>0.59084978982665082</v>
      </c>
      <c r="D826" s="30">
        <f t="shared" si="75"/>
        <v>2.5541148273684819</v>
      </c>
      <c r="E826" s="30">
        <f t="shared" si="77"/>
        <v>127.68164999999904</v>
      </c>
      <c r="F826" s="30">
        <f t="shared" si="73"/>
        <v>47.638811883515871</v>
      </c>
    </row>
    <row r="827" spans="1:6">
      <c r="A827" s="30">
        <f t="shared" si="76"/>
        <v>2.5572564200220715</v>
      </c>
      <c r="B827">
        <f t="shared" si="72"/>
        <v>-0.59250246645604709</v>
      </c>
      <c r="C827" s="30">
        <f t="shared" si="74"/>
        <v>0.59250246645604709</v>
      </c>
      <c r="D827" s="30">
        <f t="shared" si="75"/>
        <v>2.5572564200220715</v>
      </c>
      <c r="E827" s="30">
        <f t="shared" si="77"/>
        <v>127.83869999999904</v>
      </c>
      <c r="F827" s="30">
        <f t="shared" si="73"/>
        <v>47.641720389432002</v>
      </c>
    </row>
    <row r="828" spans="1:6">
      <c r="A828" s="30">
        <f t="shared" si="76"/>
        <v>2.5603980126756611</v>
      </c>
      <c r="B828">
        <f t="shared" si="72"/>
        <v>-0.59415712788523323</v>
      </c>
      <c r="C828" s="30">
        <f t="shared" si="74"/>
        <v>0.59415712788523323</v>
      </c>
      <c r="D828" s="30">
        <f t="shared" si="75"/>
        <v>2.5603980126756611</v>
      </c>
      <c r="E828" s="30">
        <f t="shared" si="77"/>
        <v>127.99574999999903</v>
      </c>
      <c r="F828" s="30">
        <f t="shared" si="73"/>
        <v>47.644620586655869</v>
      </c>
    </row>
    <row r="829" spans="1:6">
      <c r="A829" s="30">
        <f t="shared" si="76"/>
        <v>2.5635396053292507</v>
      </c>
      <c r="B829">
        <f t="shared" si="72"/>
        <v>-0.59581381041300052</v>
      </c>
      <c r="C829" s="30">
        <f t="shared" si="74"/>
        <v>0.59581381041300052</v>
      </c>
      <c r="D829" s="30">
        <f t="shared" si="75"/>
        <v>2.5635396053292507</v>
      </c>
      <c r="E829" s="30">
        <f t="shared" si="77"/>
        <v>128.15279999999905</v>
      </c>
      <c r="F829" s="30">
        <f t="shared" si="73"/>
        <v>47.64751236069263</v>
      </c>
    </row>
    <row r="830" spans="1:6">
      <c r="A830" s="30">
        <f t="shared" si="76"/>
        <v>2.5666811979828403</v>
      </c>
      <c r="B830">
        <f t="shared" si="72"/>
        <v>-0.59747255050675907</v>
      </c>
      <c r="C830" s="30">
        <f t="shared" si="74"/>
        <v>0.59747255050675907</v>
      </c>
      <c r="D830" s="30">
        <f t="shared" si="75"/>
        <v>2.5666811979828403</v>
      </c>
      <c r="E830" s="30">
        <f t="shared" si="77"/>
        <v>128.30984999999905</v>
      </c>
      <c r="F830" s="30">
        <f t="shared" si="73"/>
        <v>47.650395597380005</v>
      </c>
    </row>
    <row r="831" spans="1:6">
      <c r="A831" s="30">
        <f t="shared" si="76"/>
        <v>2.5698227906364299</v>
      </c>
      <c r="B831">
        <f t="shared" si="72"/>
        <v>-0.59913338480589129</v>
      </c>
      <c r="C831" s="30">
        <f t="shared" si="74"/>
        <v>0.59913338480589129</v>
      </c>
      <c r="D831" s="30">
        <f t="shared" si="75"/>
        <v>2.5698227906364299</v>
      </c>
      <c r="E831" s="30">
        <f t="shared" si="77"/>
        <v>128.46689999999904</v>
      </c>
      <c r="F831" s="30">
        <f t="shared" si="73"/>
        <v>47.653270182892754</v>
      </c>
    </row>
    <row r="832" spans="1:6">
      <c r="A832" s="30">
        <f t="shared" si="76"/>
        <v>2.5729643832900195</v>
      </c>
      <c r="B832">
        <f t="shared" si="72"/>
        <v>-0.60079635012513721</v>
      </c>
      <c r="C832" s="30">
        <f t="shared" si="74"/>
        <v>0.60079635012513721</v>
      </c>
      <c r="D832" s="30">
        <f t="shared" si="75"/>
        <v>2.5729643832900195</v>
      </c>
      <c r="E832" s="30">
        <f t="shared" si="77"/>
        <v>128.62394999999904</v>
      </c>
      <c r="F832" s="30">
        <f t="shared" si="73"/>
        <v>47.656136003747157</v>
      </c>
    </row>
    <row r="833" spans="1:6">
      <c r="A833" s="30">
        <f t="shared" si="76"/>
        <v>2.5761059759436091</v>
      </c>
      <c r="B833">
        <f t="shared" si="72"/>
        <v>-0.60246148345801154</v>
      </c>
      <c r="C833" s="30">
        <f t="shared" si="74"/>
        <v>0.60246148345801154</v>
      </c>
      <c r="D833" s="30">
        <f t="shared" si="75"/>
        <v>2.5761059759436091</v>
      </c>
      <c r="E833" s="30">
        <f t="shared" si="77"/>
        <v>128.78099999999904</v>
      </c>
      <c r="F833" s="30">
        <f t="shared" si="73"/>
        <v>47.658992946805519</v>
      </c>
    </row>
    <row r="834" spans="1:6">
      <c r="A834" s="30">
        <f t="shared" si="76"/>
        <v>2.5792475685971987</v>
      </c>
      <c r="B834">
        <f t="shared" si="72"/>
        <v>-0.60412882198025231</v>
      </c>
      <c r="C834" s="30">
        <f t="shared" si="74"/>
        <v>0.60412882198025231</v>
      </c>
      <c r="D834" s="30">
        <f t="shared" si="75"/>
        <v>2.5792475685971987</v>
      </c>
      <c r="E834" s="30">
        <f t="shared" si="77"/>
        <v>128.93804999999904</v>
      </c>
      <c r="F834" s="30">
        <f t="shared" si="73"/>
        <v>47.661840899280605</v>
      </c>
    </row>
    <row r="835" spans="1:6">
      <c r="A835" s="30">
        <f t="shared" si="76"/>
        <v>2.5823891612507883</v>
      </c>
      <c r="B835">
        <f t="shared" si="72"/>
        <v>-0.60579840305330424</v>
      </c>
      <c r="C835" s="30">
        <f t="shared" si="74"/>
        <v>0.60579840305330424</v>
      </c>
      <c r="D835" s="30">
        <f t="shared" si="75"/>
        <v>2.5823891612507883</v>
      </c>
      <c r="E835" s="30">
        <f t="shared" si="77"/>
        <v>129.09509999999904</v>
      </c>
      <c r="F835" s="30">
        <f t="shared" si="73"/>
        <v>47.664679748740149</v>
      </c>
    </row>
    <row r="836" spans="1:6">
      <c r="A836" s="30">
        <f t="shared" si="76"/>
        <v>2.5855307539043779</v>
      </c>
      <c r="B836">
        <f t="shared" si="72"/>
        <v>-0.60747026422783534</v>
      </c>
      <c r="C836" s="30">
        <f t="shared" si="74"/>
        <v>0.60747026422783534</v>
      </c>
      <c r="D836" s="30">
        <f t="shared" si="75"/>
        <v>2.5855307539043779</v>
      </c>
      <c r="E836" s="30">
        <f t="shared" si="77"/>
        <v>129.25214999999903</v>
      </c>
      <c r="F836" s="30">
        <f t="shared" si="73"/>
        <v>47.667509383111216</v>
      </c>
    </row>
    <row r="837" spans="1:6">
      <c r="A837" s="30">
        <f t="shared" si="76"/>
        <v>2.5886723465579675</v>
      </c>
      <c r="B837">
        <f t="shared" si="72"/>
        <v>-0.60914444324728745</v>
      </c>
      <c r="C837" s="30">
        <f t="shared" si="74"/>
        <v>0.60914444324728745</v>
      </c>
      <c r="D837" s="30">
        <f t="shared" si="75"/>
        <v>2.5886723465579675</v>
      </c>
      <c r="E837" s="30">
        <f t="shared" si="77"/>
        <v>129.40919999999903</v>
      </c>
      <c r="F837" s="30">
        <f t="shared" si="73"/>
        <v>47.670329690684696</v>
      </c>
    </row>
    <row r="838" spans="1:6">
      <c r="A838" s="30">
        <f t="shared" si="76"/>
        <v>2.5918139392115571</v>
      </c>
      <c r="B838">
        <f t="shared" si="72"/>
        <v>-0.61082097805146363</v>
      </c>
      <c r="C838" s="30">
        <f t="shared" si="74"/>
        <v>0.61082097805146363</v>
      </c>
      <c r="D838" s="30">
        <f t="shared" si="75"/>
        <v>2.5918139392115571</v>
      </c>
      <c r="E838" s="30">
        <f t="shared" si="77"/>
        <v>129.56624999999903</v>
      </c>
      <c r="F838" s="30">
        <f t="shared" si="73"/>
        <v>47.673140560119677</v>
      </c>
    </row>
    <row r="839" spans="1:6">
      <c r="A839" s="30">
        <f t="shared" si="76"/>
        <v>2.5949555318651467</v>
      </c>
      <c r="B839">
        <f t="shared" si="72"/>
        <v>-0.61249990678015032</v>
      </c>
      <c r="C839" s="30">
        <f t="shared" si="74"/>
        <v>0.61249990678015032</v>
      </c>
      <c r="D839" s="30">
        <f t="shared" si="75"/>
        <v>2.5949555318651467</v>
      </c>
      <c r="E839" s="30">
        <f t="shared" si="77"/>
        <v>129.72329999999903</v>
      </c>
      <c r="F839" s="30">
        <f t="shared" si="73"/>
        <v>47.675941880447837</v>
      </c>
    </row>
    <row r="840" spans="1:6">
      <c r="A840" s="30">
        <f t="shared" si="76"/>
        <v>2.5980971245187363</v>
      </c>
      <c r="B840">
        <f t="shared" si="72"/>
        <v>-0.61418126777677773</v>
      </c>
      <c r="C840" s="30">
        <f t="shared" si="74"/>
        <v>0.61418126777677773</v>
      </c>
      <c r="D840" s="30">
        <f t="shared" si="75"/>
        <v>2.5980971245187363</v>
      </c>
      <c r="E840" s="30">
        <f t="shared" si="77"/>
        <v>129.88034999999903</v>
      </c>
      <c r="F840" s="30">
        <f t="shared" si="73"/>
        <v>47.678733541077861</v>
      </c>
    </row>
    <row r="841" spans="1:6">
      <c r="A841" s="30">
        <f t="shared" si="76"/>
        <v>2.6012387171723259</v>
      </c>
      <c r="B841">
        <f t="shared" si="72"/>
        <v>-0.61586509959211688</v>
      </c>
      <c r="C841" s="30">
        <f t="shared" si="74"/>
        <v>0.61586509959211688</v>
      </c>
      <c r="D841" s="30">
        <f t="shared" si="75"/>
        <v>2.6012387171723259</v>
      </c>
      <c r="E841" s="30">
        <f t="shared" si="77"/>
        <v>130.03739999999902</v>
      </c>
      <c r="F841" s="30">
        <f t="shared" si="73"/>
        <v>47.681515431799752</v>
      </c>
    </row>
    <row r="842" spans="1:6">
      <c r="A842" s="30">
        <f t="shared" si="76"/>
        <v>2.6043803098259155</v>
      </c>
      <c r="B842">
        <f t="shared" si="72"/>
        <v>-0.61755144098801573</v>
      </c>
      <c r="C842" s="30">
        <f t="shared" si="74"/>
        <v>0.61755144098801573</v>
      </c>
      <c r="D842" s="30">
        <f t="shared" si="75"/>
        <v>2.6043803098259155</v>
      </c>
      <c r="E842" s="30">
        <f t="shared" si="77"/>
        <v>130.19444999999902</v>
      </c>
      <c r="F842" s="30">
        <f t="shared" si="73"/>
        <v>47.684287442789234</v>
      </c>
    </row>
    <row r="843" spans="1:6">
      <c r="A843" s="30">
        <f t="shared" si="76"/>
        <v>2.6075219024795051</v>
      </c>
      <c r="B843">
        <f t="shared" si="72"/>
        <v>-0.61924033094117448</v>
      </c>
      <c r="C843" s="30">
        <f t="shared" si="74"/>
        <v>0.61924033094117448</v>
      </c>
      <c r="D843" s="30">
        <f t="shared" si="75"/>
        <v>2.6075219024795051</v>
      </c>
      <c r="E843" s="30">
        <f t="shared" si="77"/>
        <v>130.35149999999902</v>
      </c>
      <c r="F843" s="30">
        <f t="shared" si="73"/>
        <v>47.687049464612066</v>
      </c>
    </row>
    <row r="844" spans="1:6">
      <c r="A844" s="30">
        <f t="shared" si="76"/>
        <v>2.6106634951330947</v>
      </c>
      <c r="B844">
        <f t="shared" si="72"/>
        <v>-0.62093180864696074</v>
      </c>
      <c r="C844" s="30">
        <f t="shared" si="74"/>
        <v>0.62093180864696074</v>
      </c>
      <c r="D844" s="30">
        <f t="shared" si="75"/>
        <v>2.6106634951330947</v>
      </c>
      <c r="E844" s="30">
        <f t="shared" si="77"/>
        <v>130.50854999999902</v>
      </c>
      <c r="F844" s="30">
        <f t="shared" si="73"/>
        <v>47.689801388228346</v>
      </c>
    </row>
    <row r="845" spans="1:6">
      <c r="A845" s="30">
        <f t="shared" si="76"/>
        <v>2.6138050877866843</v>
      </c>
      <c r="B845">
        <f t="shared" ref="B845:B908" si="78">$H$3*(SIN($H$4+A845)-SIN($H$5+A845))/(SIN($H$4+A845)-SIN(A845))-$H$6</f>
        <v>-0.62262591352326635</v>
      </c>
      <c r="C845" s="30">
        <f t="shared" si="74"/>
        <v>0.62262591352326635</v>
      </c>
      <c r="D845" s="30">
        <f t="shared" si="75"/>
        <v>2.6138050877866843</v>
      </c>
      <c r="E845" s="30">
        <f t="shared" si="77"/>
        <v>130.66559999999902</v>
      </c>
      <c r="F845" s="30">
        <f t="shared" ref="F845:F908" si="79">$M$5*SIN(2*PI()/$B$7*E845+$M$4)+$M$6</f>
        <v>47.692543104996844</v>
      </c>
    </row>
    <row r="846" spans="1:6">
      <c r="A846" s="30">
        <f t="shared" si="76"/>
        <v>2.6169466804402739</v>
      </c>
      <c r="B846">
        <f t="shared" si="78"/>
        <v>-0.62432268521440482</v>
      </c>
      <c r="C846" s="30">
        <f t="shared" ref="C846:C909" si="80">ABS(B846)</f>
        <v>0.62432268521440482</v>
      </c>
      <c r="D846" s="30">
        <f t="shared" ref="D846:D909" si="81">A846</f>
        <v>2.6169466804402739</v>
      </c>
      <c r="E846" s="30">
        <f t="shared" si="77"/>
        <v>130.82264999999902</v>
      </c>
      <c r="F846" s="30">
        <f t="shared" si="79"/>
        <v>47.695274506679283</v>
      </c>
    </row>
    <row r="847" spans="1:6">
      <c r="A847" s="30">
        <f t="shared" ref="A847:A910" si="82">A846+PI()/1000</f>
        <v>2.6200882730938635</v>
      </c>
      <c r="B847">
        <f t="shared" si="78"/>
        <v>-0.62602216359505281</v>
      </c>
      <c r="C847" s="30">
        <f t="shared" si="80"/>
        <v>0.62602216359505281</v>
      </c>
      <c r="D847" s="30">
        <f t="shared" si="81"/>
        <v>2.6200882730938635</v>
      </c>
      <c r="E847" s="30">
        <f t="shared" ref="E847:E910" si="83">E846+$B$7/1000</f>
        <v>130.97969999999901</v>
      </c>
      <c r="F847" s="30">
        <f t="shared" si="79"/>
        <v>47.697995485444594</v>
      </c>
    </row>
    <row r="848" spans="1:6">
      <c r="A848" s="30">
        <f t="shared" si="82"/>
        <v>2.6232298657474531</v>
      </c>
      <c r="B848">
        <f t="shared" si="78"/>
        <v>-0.62772438877423387</v>
      </c>
      <c r="C848" s="30">
        <f t="shared" si="80"/>
        <v>0.62772438877423387</v>
      </c>
      <c r="D848" s="30">
        <f t="shared" si="81"/>
        <v>2.6232298657474531</v>
      </c>
      <c r="E848" s="30">
        <f t="shared" si="83"/>
        <v>131.13674999999901</v>
      </c>
      <c r="F848" s="30">
        <f t="shared" si="79"/>
        <v>47.700705933873195</v>
      </c>
    </row>
    <row r="849" spans="1:6">
      <c r="A849" s="30">
        <f t="shared" si="82"/>
        <v>2.6263714584010427</v>
      </c>
      <c r="B849">
        <f t="shared" si="78"/>
        <v>-0.62942940109934753</v>
      </c>
      <c r="C849" s="30">
        <f t="shared" si="80"/>
        <v>0.62942940109934753</v>
      </c>
      <c r="D849" s="30">
        <f t="shared" si="81"/>
        <v>2.6263714584010427</v>
      </c>
      <c r="E849" s="30">
        <f t="shared" si="83"/>
        <v>131.29379999999901</v>
      </c>
      <c r="F849" s="30">
        <f t="shared" si="79"/>
        <v>47.703405744961223</v>
      </c>
    </row>
    <row r="850" spans="1:6">
      <c r="A850" s="30">
        <f t="shared" si="82"/>
        <v>2.6295130510546323</v>
      </c>
      <c r="B850">
        <f t="shared" si="78"/>
        <v>-0.63113724116024295</v>
      </c>
      <c r="C850" s="30">
        <f t="shared" si="80"/>
        <v>0.63113724116024295</v>
      </c>
      <c r="D850" s="30">
        <f t="shared" si="81"/>
        <v>2.6295130510546323</v>
      </c>
      <c r="E850" s="30">
        <f t="shared" si="83"/>
        <v>131.45084999999901</v>
      </c>
      <c r="F850" s="30">
        <f t="shared" si="79"/>
        <v>47.706094812124761</v>
      </c>
    </row>
    <row r="851" spans="1:6">
      <c r="A851" s="30">
        <f t="shared" si="82"/>
        <v>2.6326546437082219</v>
      </c>
      <c r="B851">
        <f t="shared" si="78"/>
        <v>-0.63284794979333936</v>
      </c>
      <c r="C851" s="30">
        <f t="shared" si="80"/>
        <v>0.63284794979333936</v>
      </c>
      <c r="D851" s="30">
        <f t="shared" si="81"/>
        <v>2.6326546437082219</v>
      </c>
      <c r="E851" s="30">
        <f t="shared" si="83"/>
        <v>131.60789999999901</v>
      </c>
      <c r="F851" s="30">
        <f t="shared" si="79"/>
        <v>47.708773029204046</v>
      </c>
    </row>
    <row r="852" spans="1:6">
      <c r="A852" s="30">
        <f t="shared" si="82"/>
        <v>2.6357962363618115</v>
      </c>
      <c r="B852">
        <f t="shared" si="78"/>
        <v>-0.63456156808579345</v>
      </c>
      <c r="C852" s="30">
        <f t="shared" si="80"/>
        <v>0.63456156808579345</v>
      </c>
      <c r="D852" s="30">
        <f t="shared" si="81"/>
        <v>2.6357962363618115</v>
      </c>
      <c r="E852" s="30">
        <f t="shared" si="83"/>
        <v>131.764949999999</v>
      </c>
      <c r="F852" s="30">
        <f t="shared" si="79"/>
        <v>47.71144029046765</v>
      </c>
    </row>
    <row r="853" spans="1:6">
      <c r="A853" s="30">
        <f t="shared" si="82"/>
        <v>2.6389378290154011</v>
      </c>
      <c r="B853">
        <f t="shared" si="78"/>
        <v>-0.63627813737971428</v>
      </c>
      <c r="C853" s="30">
        <f t="shared" si="80"/>
        <v>0.63627813737971428</v>
      </c>
      <c r="D853" s="30">
        <f t="shared" si="81"/>
        <v>2.6389378290154011</v>
      </c>
      <c r="E853" s="30">
        <f t="shared" si="83"/>
        <v>131.921999999999</v>
      </c>
      <c r="F853" s="30">
        <f t="shared" si="79"/>
        <v>47.714096490616662</v>
      </c>
    </row>
    <row r="854" spans="1:6">
      <c r="A854" s="30">
        <f t="shared" si="82"/>
        <v>2.6420794216689907</v>
      </c>
      <c r="B854">
        <f t="shared" si="78"/>
        <v>-0.63799769927642846</v>
      </c>
      <c r="C854" s="30">
        <f t="shared" si="80"/>
        <v>0.63799769927642846</v>
      </c>
      <c r="D854" s="30">
        <f t="shared" si="81"/>
        <v>2.6420794216689907</v>
      </c>
      <c r="E854" s="30">
        <f t="shared" si="83"/>
        <v>132.079049999999</v>
      </c>
      <c r="F854" s="30">
        <f t="shared" si="79"/>
        <v>47.716741524788851</v>
      </c>
    </row>
    <row r="855" spans="1:6">
      <c r="A855" s="30">
        <f t="shared" si="82"/>
        <v>2.6452210143225803</v>
      </c>
      <c r="B855">
        <f t="shared" si="78"/>
        <v>-0.63972029564079413</v>
      </c>
      <c r="C855" s="30">
        <f t="shared" si="80"/>
        <v>0.63972029564079413</v>
      </c>
      <c r="D855" s="30">
        <f t="shared" si="81"/>
        <v>2.6452210143225803</v>
      </c>
      <c r="E855" s="30">
        <f t="shared" si="83"/>
        <v>132.236099999999</v>
      </c>
      <c r="F855" s="30">
        <f t="shared" si="79"/>
        <v>47.719375288562794</v>
      </c>
    </row>
    <row r="856" spans="1:6">
      <c r="A856" s="30">
        <f t="shared" si="82"/>
        <v>2.6483626069761699</v>
      </c>
      <c r="B856">
        <f t="shared" si="78"/>
        <v>-0.64144596860556669</v>
      </c>
      <c r="C856" s="30">
        <f t="shared" si="80"/>
        <v>0.64144596860556669</v>
      </c>
      <c r="D856" s="30">
        <f t="shared" si="81"/>
        <v>2.6483626069761699</v>
      </c>
      <c r="E856" s="30">
        <f t="shared" si="83"/>
        <v>132.393149999999</v>
      </c>
      <c r="F856" s="30">
        <f t="shared" si="79"/>
        <v>47.721997677962015</v>
      </c>
    </row>
    <row r="857" spans="1:6">
      <c r="A857" s="30">
        <f t="shared" si="82"/>
        <v>2.6515041996297595</v>
      </c>
      <c r="B857">
        <f t="shared" si="78"/>
        <v>-0.64317476057581624</v>
      </c>
      <c r="C857" s="30">
        <f t="shared" si="80"/>
        <v>0.64317476057581624</v>
      </c>
      <c r="D857" s="30">
        <f t="shared" si="81"/>
        <v>2.6515041996297595</v>
      </c>
      <c r="E857" s="30">
        <f t="shared" si="83"/>
        <v>132.55019999999899</v>
      </c>
      <c r="F857" s="30">
        <f t="shared" si="79"/>
        <v>47.724608589459066</v>
      </c>
    </row>
    <row r="858" spans="1:6">
      <c r="A858" s="30">
        <f t="shared" si="82"/>
        <v>2.6546457922833491</v>
      </c>
      <c r="B858">
        <f t="shared" si="78"/>
        <v>-0.6449067142333984</v>
      </c>
      <c r="C858" s="30">
        <f t="shared" si="80"/>
        <v>0.6449067142333984</v>
      </c>
      <c r="D858" s="30">
        <f t="shared" si="81"/>
        <v>2.6546457922833491</v>
      </c>
      <c r="E858" s="30">
        <f t="shared" si="83"/>
        <v>132.70724999999899</v>
      </c>
      <c r="F858" s="30">
        <f t="shared" si="79"/>
        <v>47.727207919979627</v>
      </c>
    </row>
    <row r="859" spans="1:6">
      <c r="A859" s="30">
        <f t="shared" si="82"/>
        <v>2.6577873849369387</v>
      </c>
      <c r="B859">
        <f t="shared" si="78"/>
        <v>-0.64664187254147876</v>
      </c>
      <c r="C859" s="30">
        <f t="shared" si="80"/>
        <v>0.64664187254147876</v>
      </c>
      <c r="D859" s="30">
        <f t="shared" si="81"/>
        <v>2.6577873849369387</v>
      </c>
      <c r="E859" s="30">
        <f t="shared" si="83"/>
        <v>132.86429999999899</v>
      </c>
      <c r="F859" s="30">
        <f t="shared" si="79"/>
        <v>47.729795566906589</v>
      </c>
    </row>
    <row r="860" spans="1:6">
      <c r="A860" s="30">
        <f t="shared" si="82"/>
        <v>2.6609289775905283</v>
      </c>
      <c r="B860">
        <f t="shared" si="78"/>
        <v>-0.64838027874911319</v>
      </c>
      <c r="C860" s="30">
        <f t="shared" si="80"/>
        <v>0.64838027874911319</v>
      </c>
      <c r="D860" s="30">
        <f t="shared" si="81"/>
        <v>2.6609289775905283</v>
      </c>
      <c r="E860" s="30">
        <f t="shared" si="83"/>
        <v>133.02134999999899</v>
      </c>
      <c r="F860" s="30">
        <f t="shared" si="79"/>
        <v>47.732371428084072</v>
      </c>
    </row>
    <row r="861" spans="1:6">
      <c r="A861" s="30">
        <f t="shared" si="82"/>
        <v>2.6640705702441179</v>
      </c>
      <c r="B861">
        <f t="shared" si="78"/>
        <v>-0.65012197639588354</v>
      </c>
      <c r="C861" s="30">
        <f t="shared" si="80"/>
        <v>0.65012197639588354</v>
      </c>
      <c r="D861" s="30">
        <f t="shared" si="81"/>
        <v>2.6640705702441179</v>
      </c>
      <c r="E861" s="30">
        <f t="shared" si="83"/>
        <v>133.17839999999899</v>
      </c>
      <c r="F861" s="30">
        <f t="shared" si="79"/>
        <v>47.734935401821495</v>
      </c>
    </row>
    <row r="862" spans="1:6">
      <c r="A862" s="30">
        <f t="shared" si="82"/>
        <v>2.6672121628977075</v>
      </c>
      <c r="B862">
        <f t="shared" si="78"/>
        <v>-0.65186700931659158</v>
      </c>
      <c r="C862" s="30">
        <f t="shared" si="80"/>
        <v>0.65186700931659158</v>
      </c>
      <c r="D862" s="30">
        <f t="shared" si="81"/>
        <v>2.6672121628977075</v>
      </c>
      <c r="E862" s="30">
        <f t="shared" si="83"/>
        <v>133.33544999999899</v>
      </c>
      <c r="F862" s="30">
        <f t="shared" si="79"/>
        <v>47.737487386897563</v>
      </c>
    </row>
    <row r="863" spans="1:6">
      <c r="A863" s="30">
        <f t="shared" si="82"/>
        <v>2.6703537555512971</v>
      </c>
      <c r="B863">
        <f t="shared" si="78"/>
        <v>-0.65361542164601083</v>
      </c>
      <c r="C863" s="30">
        <f t="shared" si="80"/>
        <v>0.65361542164601083</v>
      </c>
      <c r="D863" s="30">
        <f t="shared" si="81"/>
        <v>2.6703537555512971</v>
      </c>
      <c r="E863" s="30">
        <f t="shared" si="83"/>
        <v>133.49249999999898</v>
      </c>
      <c r="F863" s="30">
        <f t="shared" si="79"/>
        <v>47.740027282564277</v>
      </c>
    </row>
    <row r="864" spans="1:6">
      <c r="A864" s="30">
        <f t="shared" si="82"/>
        <v>2.6734953482048867</v>
      </c>
      <c r="B864">
        <f t="shared" si="78"/>
        <v>-0.65536725782369865</v>
      </c>
      <c r="C864" s="30">
        <f t="shared" si="80"/>
        <v>0.65536725782369865</v>
      </c>
      <c r="D864" s="30">
        <f t="shared" si="81"/>
        <v>2.6734953482048867</v>
      </c>
      <c r="E864" s="30">
        <f t="shared" si="83"/>
        <v>133.64954999999898</v>
      </c>
      <c r="F864" s="30">
        <f t="shared" si="79"/>
        <v>47.7425549885509</v>
      </c>
    </row>
    <row r="865" spans="1:6">
      <c r="A865" s="30">
        <f t="shared" si="82"/>
        <v>2.6766369408584763</v>
      </c>
      <c r="B865">
        <f t="shared" si="78"/>
        <v>-0.65712256259886836</v>
      </c>
      <c r="C865" s="30">
        <f t="shared" si="80"/>
        <v>0.65712256259886836</v>
      </c>
      <c r="D865" s="30">
        <f t="shared" si="81"/>
        <v>2.6766369408584763</v>
      </c>
      <c r="E865" s="30">
        <f t="shared" si="83"/>
        <v>133.80659999999898</v>
      </c>
      <c r="F865" s="30">
        <f t="shared" si="79"/>
        <v>47.745070405067928</v>
      </c>
    </row>
    <row r="866" spans="1:6">
      <c r="A866" s="30">
        <f t="shared" si="82"/>
        <v>2.6797785335120659</v>
      </c>
      <c r="B866">
        <f t="shared" si="78"/>
        <v>-0.65888138103532401</v>
      </c>
      <c r="C866" s="30">
        <f t="shared" si="80"/>
        <v>0.65888138103532401</v>
      </c>
      <c r="D866" s="30">
        <f t="shared" si="81"/>
        <v>2.6797785335120659</v>
      </c>
      <c r="E866" s="30">
        <f t="shared" si="83"/>
        <v>133.96364999999898</v>
      </c>
      <c r="F866" s="30">
        <f t="shared" si="79"/>
        <v>47.747573432811031</v>
      </c>
    </row>
    <row r="867" spans="1:6">
      <c r="A867" s="30">
        <f t="shared" si="82"/>
        <v>2.6829201261656555</v>
      </c>
      <c r="B867">
        <f t="shared" si="78"/>
        <v>-0.66064375851645807</v>
      </c>
      <c r="C867" s="30">
        <f t="shared" si="80"/>
        <v>0.66064375851645807</v>
      </c>
      <c r="D867" s="30">
        <f t="shared" si="81"/>
        <v>2.6829201261656555</v>
      </c>
      <c r="E867" s="30">
        <f t="shared" si="83"/>
        <v>134.12069999999898</v>
      </c>
      <c r="F867" s="30">
        <f t="shared" si="79"/>
        <v>47.750063972964952</v>
      </c>
    </row>
    <row r="868" spans="1:6">
      <c r="A868" s="30">
        <f t="shared" si="82"/>
        <v>2.686061718819245</v>
      </c>
      <c r="B868">
        <f t="shared" si="78"/>
        <v>-0.66240974075031378</v>
      </c>
      <c r="C868" s="30">
        <f t="shared" si="80"/>
        <v>0.66240974075031378</v>
      </c>
      <c r="D868" s="30">
        <f t="shared" si="81"/>
        <v>2.686061718819245</v>
      </c>
      <c r="E868" s="30">
        <f t="shared" si="83"/>
        <v>134.27774999999897</v>
      </c>
      <c r="F868" s="30">
        <f t="shared" si="79"/>
        <v>47.752541927207432</v>
      </c>
    </row>
    <row r="869" spans="1:6">
      <c r="A869" s="30">
        <f t="shared" si="82"/>
        <v>2.6892033114728346</v>
      </c>
      <c r="B869">
        <f t="shared" si="78"/>
        <v>-0.66417937377471281</v>
      </c>
      <c r="C869" s="30">
        <f t="shared" si="80"/>
        <v>0.66417937377471281</v>
      </c>
      <c r="D869" s="30">
        <f t="shared" si="81"/>
        <v>2.6892033114728346</v>
      </c>
      <c r="E869" s="30">
        <f t="shared" si="83"/>
        <v>134.43479999999897</v>
      </c>
      <c r="F869" s="30">
        <f t="shared" si="79"/>
        <v>47.755007197713084</v>
      </c>
    </row>
    <row r="870" spans="1:6">
      <c r="A870" s="30">
        <f t="shared" si="82"/>
        <v>2.6923449041264242</v>
      </c>
      <c r="B870">
        <f t="shared" si="78"/>
        <v>-0.66595270396245099</v>
      </c>
      <c r="C870" s="30">
        <f t="shared" si="80"/>
        <v>0.66595270396245099</v>
      </c>
      <c r="D870" s="30">
        <f t="shared" si="81"/>
        <v>2.6923449041264242</v>
      </c>
      <c r="E870" s="30">
        <f t="shared" si="83"/>
        <v>134.59184999999897</v>
      </c>
      <c r="F870" s="30">
        <f t="shared" si="79"/>
        <v>47.757459687157244</v>
      </c>
    </row>
    <row r="871" spans="1:6">
      <c r="A871" s="30">
        <f t="shared" si="82"/>
        <v>2.6954864967800138</v>
      </c>
      <c r="B871">
        <f t="shared" si="78"/>
        <v>-0.66772977802656042</v>
      </c>
      <c r="C871" s="30">
        <f t="shared" si="80"/>
        <v>0.66772977802656042</v>
      </c>
      <c r="D871" s="30">
        <f t="shared" si="81"/>
        <v>2.6954864967800138</v>
      </c>
      <c r="E871" s="30">
        <f t="shared" si="83"/>
        <v>134.74889999999897</v>
      </c>
      <c r="F871" s="30">
        <f t="shared" si="79"/>
        <v>47.75989929871983</v>
      </c>
    </row>
    <row r="872" spans="1:6">
      <c r="A872" s="30">
        <f t="shared" si="82"/>
        <v>2.6986280894336034</v>
      </c>
      <c r="B872">
        <f t="shared" si="78"/>
        <v>-0.66951064302564345</v>
      </c>
      <c r="C872" s="30">
        <f t="shared" si="80"/>
        <v>0.66951064302564345</v>
      </c>
      <c r="D872" s="30">
        <f t="shared" si="81"/>
        <v>2.6986280894336034</v>
      </c>
      <c r="E872" s="30">
        <f t="shared" si="83"/>
        <v>134.90594999999897</v>
      </c>
      <c r="F872" s="30">
        <f t="shared" si="79"/>
        <v>47.762325936089162</v>
      </c>
    </row>
    <row r="873" spans="1:6">
      <c r="A873" s="30">
        <f t="shared" si="82"/>
        <v>2.701769682087193</v>
      </c>
      <c r="B873">
        <f t="shared" si="78"/>
        <v>-0.67129534636927546</v>
      </c>
      <c r="C873" s="30">
        <f t="shared" si="80"/>
        <v>0.67129534636927546</v>
      </c>
      <c r="D873" s="30">
        <f t="shared" si="81"/>
        <v>2.701769682087193</v>
      </c>
      <c r="E873" s="30">
        <f t="shared" si="83"/>
        <v>135.06299999999896</v>
      </c>
      <c r="F873" s="30">
        <f t="shared" si="79"/>
        <v>47.764739503465741</v>
      </c>
    </row>
    <row r="874" spans="1:6">
      <c r="A874" s="30">
        <f t="shared" si="82"/>
        <v>2.7049112747407826</v>
      </c>
      <c r="B874">
        <f t="shared" si="78"/>
        <v>-0.67308393582348247</v>
      </c>
      <c r="C874" s="30">
        <f t="shared" si="80"/>
        <v>0.67308393582348247</v>
      </c>
      <c r="D874" s="30">
        <f t="shared" si="81"/>
        <v>2.7049112747407826</v>
      </c>
      <c r="E874" s="30">
        <f t="shared" si="83"/>
        <v>135.22004999999896</v>
      </c>
      <c r="F874" s="30">
        <f t="shared" si="79"/>
        <v>47.767139905566069</v>
      </c>
    </row>
    <row r="875" spans="1:6">
      <c r="A875" s="30">
        <f t="shared" si="82"/>
        <v>2.7080528673943722</v>
      </c>
      <c r="B875">
        <f t="shared" si="78"/>
        <v>-0.67487645951628994</v>
      </c>
      <c r="C875" s="30">
        <f t="shared" si="80"/>
        <v>0.67487645951628994</v>
      </c>
      <c r="D875" s="30">
        <f t="shared" si="81"/>
        <v>2.7080528673943722</v>
      </c>
      <c r="E875" s="30">
        <f t="shared" si="83"/>
        <v>135.37709999999896</v>
      </c>
      <c r="F875" s="30">
        <f t="shared" si="79"/>
        <v>47.769527047626376</v>
      </c>
    </row>
    <row r="876" spans="1:6">
      <c r="A876" s="30">
        <f t="shared" si="82"/>
        <v>2.7111944600479618</v>
      </c>
      <c r="B876">
        <f t="shared" si="78"/>
        <v>-0.67667296594334858</v>
      </c>
      <c r="C876" s="30">
        <f t="shared" si="80"/>
        <v>0.67667296594334858</v>
      </c>
      <c r="D876" s="30">
        <f t="shared" si="81"/>
        <v>2.7111944600479618</v>
      </c>
      <c r="E876" s="30">
        <f t="shared" si="83"/>
        <v>135.53414999999896</v>
      </c>
      <c r="F876" s="30">
        <f t="shared" si="79"/>
        <v>47.771900835406377</v>
      </c>
    </row>
    <row r="877" spans="1:6">
      <c r="A877" s="30">
        <f t="shared" si="82"/>
        <v>2.7143360527015514</v>
      </c>
      <c r="B877">
        <f t="shared" si="78"/>
        <v>-0.67847350397363637</v>
      </c>
      <c r="C877" s="30">
        <f t="shared" si="80"/>
        <v>0.67847350397363637</v>
      </c>
      <c r="D877" s="30">
        <f t="shared" si="81"/>
        <v>2.7143360527015514</v>
      </c>
      <c r="E877" s="30">
        <f t="shared" si="83"/>
        <v>135.69119999999896</v>
      </c>
      <c r="F877" s="30">
        <f t="shared" si="79"/>
        <v>47.774261175193004</v>
      </c>
    </row>
    <row r="878" spans="1:6">
      <c r="A878" s="30">
        <f t="shared" si="82"/>
        <v>2.717477645355141</v>
      </c>
      <c r="B878">
        <f t="shared" si="78"/>
        <v>-0.68027812285523859</v>
      </c>
      <c r="C878" s="30">
        <f t="shared" si="80"/>
        <v>0.68027812285523859</v>
      </c>
      <c r="D878" s="30">
        <f t="shared" si="81"/>
        <v>2.717477645355141</v>
      </c>
      <c r="E878" s="30">
        <f t="shared" si="83"/>
        <v>135.84824999999896</v>
      </c>
      <c r="F878" s="30">
        <f t="shared" si="79"/>
        <v>47.776607973804076</v>
      </c>
    </row>
    <row r="879" spans="1:6">
      <c r="A879" s="30">
        <f t="shared" si="82"/>
        <v>2.7206192380087306</v>
      </c>
      <c r="B879">
        <f t="shared" si="78"/>
        <v>-0.68208687222120756</v>
      </c>
      <c r="C879" s="30">
        <f t="shared" si="80"/>
        <v>0.68208687222120756</v>
      </c>
      <c r="D879" s="30">
        <f t="shared" si="81"/>
        <v>2.7206192380087306</v>
      </c>
      <c r="E879" s="30">
        <f t="shared" si="83"/>
        <v>136.00529999999895</v>
      </c>
      <c r="F879" s="30">
        <f t="shared" si="79"/>
        <v>47.77894113859201</v>
      </c>
    </row>
    <row r="880" spans="1:6">
      <c r="A880" s="30">
        <f t="shared" si="82"/>
        <v>2.7237608306623202</v>
      </c>
      <c r="B880">
        <f t="shared" si="78"/>
        <v>-0.68389980209550361</v>
      </c>
      <c r="C880" s="30">
        <f t="shared" si="80"/>
        <v>0.68389980209550361</v>
      </c>
      <c r="D880" s="30">
        <f t="shared" si="81"/>
        <v>2.7237608306623202</v>
      </c>
      <c r="E880" s="30">
        <f t="shared" si="83"/>
        <v>136.16234999999895</v>
      </c>
      <c r="F880" s="30">
        <f t="shared" si="79"/>
        <v>47.781260577447448</v>
      </c>
    </row>
    <row r="881" spans="1:6">
      <c r="A881" s="30">
        <f t="shared" si="82"/>
        <v>2.7269024233159098</v>
      </c>
      <c r="B881">
        <f t="shared" si="78"/>
        <v>-0.6857169628990194</v>
      </c>
      <c r="C881" s="30">
        <f t="shared" si="80"/>
        <v>0.6857169628990194</v>
      </c>
      <c r="D881" s="30">
        <f t="shared" si="81"/>
        <v>2.7269024233159098</v>
      </c>
      <c r="E881" s="30">
        <f t="shared" si="83"/>
        <v>136.31939999999895</v>
      </c>
      <c r="F881" s="30">
        <f t="shared" si="79"/>
        <v>47.783566198802916</v>
      </c>
    </row>
    <row r="882" spans="1:6">
      <c r="A882" s="30">
        <f t="shared" si="82"/>
        <v>2.7300440159694994</v>
      </c>
      <c r="B882">
        <f t="shared" si="78"/>
        <v>-0.68753840545568778</v>
      </c>
      <c r="C882" s="30">
        <f t="shared" si="80"/>
        <v>0.68753840545568778</v>
      </c>
      <c r="D882" s="30">
        <f t="shared" si="81"/>
        <v>2.7300440159694994</v>
      </c>
      <c r="E882" s="30">
        <f t="shared" si="83"/>
        <v>136.47644999999895</v>
      </c>
      <c r="F882" s="30">
        <f t="shared" si="79"/>
        <v>47.785857911636434</v>
      </c>
    </row>
    <row r="883" spans="1:6">
      <c r="A883" s="30">
        <f t="shared" si="82"/>
        <v>2.733185608623089</v>
      </c>
      <c r="B883">
        <f t="shared" si="78"/>
        <v>-0.68936418099867658</v>
      </c>
      <c r="C883" s="30">
        <f t="shared" si="80"/>
        <v>0.68936418099867658</v>
      </c>
      <c r="D883" s="30">
        <f t="shared" si="81"/>
        <v>2.733185608623089</v>
      </c>
      <c r="E883" s="30">
        <f t="shared" si="83"/>
        <v>136.63349999999895</v>
      </c>
      <c r="F883" s="30">
        <f t="shared" si="79"/>
        <v>47.788135625475107</v>
      </c>
    </row>
    <row r="884" spans="1:6">
      <c r="A884" s="30">
        <f t="shared" si="82"/>
        <v>2.7363272012766786</v>
      </c>
      <c r="B884">
        <f t="shared" si="78"/>
        <v>-0.69119434117667056</v>
      </c>
      <c r="C884" s="30">
        <f t="shared" si="80"/>
        <v>0.69119434117667056</v>
      </c>
      <c r="D884" s="30">
        <f t="shared" si="81"/>
        <v>2.7363272012766786</v>
      </c>
      <c r="E884" s="30">
        <f t="shared" si="83"/>
        <v>136.79054999999894</v>
      </c>
      <c r="F884" s="30">
        <f t="shared" si="79"/>
        <v>47.790399250398686</v>
      </c>
    </row>
    <row r="885" spans="1:6">
      <c r="A885" s="30">
        <f t="shared" si="82"/>
        <v>2.7394687939302682</v>
      </c>
      <c r="B885">
        <f t="shared" si="78"/>
        <v>-0.69302893806024368</v>
      </c>
      <c r="C885" s="30">
        <f t="shared" si="80"/>
        <v>0.69302893806024368</v>
      </c>
      <c r="D885" s="30">
        <f t="shared" si="81"/>
        <v>2.7394687939302682</v>
      </c>
      <c r="E885" s="30">
        <f t="shared" si="83"/>
        <v>136.94759999999894</v>
      </c>
      <c r="F885" s="30">
        <f t="shared" si="79"/>
        <v>47.792648697043134</v>
      </c>
    </row>
    <row r="886" spans="1:6">
      <c r="A886" s="30">
        <f t="shared" si="82"/>
        <v>2.7426103865838578</v>
      </c>
      <c r="B886">
        <f t="shared" si="78"/>
        <v>-0.69486802414832138</v>
      </c>
      <c r="C886" s="30">
        <f t="shared" si="80"/>
        <v>0.69486802414832138</v>
      </c>
      <c r="D886" s="30">
        <f t="shared" si="81"/>
        <v>2.7426103865838578</v>
      </c>
      <c r="E886" s="30">
        <f t="shared" si="83"/>
        <v>137.10464999999894</v>
      </c>
      <c r="F886" s="30">
        <f t="shared" si="79"/>
        <v>47.794883876604153</v>
      </c>
    </row>
    <row r="887" spans="1:6">
      <c r="A887" s="30">
        <f t="shared" si="82"/>
        <v>2.7457519792374474</v>
      </c>
      <c r="B887">
        <f t="shared" si="78"/>
        <v>-0.69671165237473687</v>
      </c>
      <c r="C887" s="30">
        <f t="shared" si="80"/>
        <v>0.69671165237473687</v>
      </c>
      <c r="D887" s="30">
        <f t="shared" si="81"/>
        <v>2.7457519792374474</v>
      </c>
      <c r="E887" s="30">
        <f t="shared" si="83"/>
        <v>137.26169999999894</v>
      </c>
      <c r="F887" s="30">
        <f t="shared" si="79"/>
        <v>47.797104700840684</v>
      </c>
    </row>
    <row r="888" spans="1:6">
      <c r="A888" s="30">
        <f t="shared" si="82"/>
        <v>2.748893571891037</v>
      </c>
      <c r="B888">
        <f t="shared" si="78"/>
        <v>-0.69855987611488191</v>
      </c>
      <c r="C888" s="30">
        <f t="shared" si="80"/>
        <v>0.69855987611488191</v>
      </c>
      <c r="D888" s="30">
        <f t="shared" si="81"/>
        <v>2.748893571891037</v>
      </c>
      <c r="E888" s="30">
        <f t="shared" si="83"/>
        <v>137.41874999999894</v>
      </c>
      <c r="F888" s="30">
        <f t="shared" si="79"/>
        <v>47.799311082078383</v>
      </c>
    </row>
    <row r="889" spans="1:6">
      <c r="A889" s="30">
        <f t="shared" si="82"/>
        <v>2.7520351645446266</v>
      </c>
      <c r="B889">
        <f t="shared" si="78"/>
        <v>-0.70041274919245422</v>
      </c>
      <c r="C889" s="30">
        <f t="shared" si="80"/>
        <v>0.70041274919245422</v>
      </c>
      <c r="D889" s="30">
        <f t="shared" si="81"/>
        <v>2.7520351645446266</v>
      </c>
      <c r="E889" s="30">
        <f t="shared" si="83"/>
        <v>137.57579999999894</v>
      </c>
      <c r="F889" s="30">
        <f t="shared" si="79"/>
        <v>47.801502933213094</v>
      </c>
    </row>
    <row r="890" spans="1:6">
      <c r="A890" s="30">
        <f t="shared" si="82"/>
        <v>2.7551767571982162</v>
      </c>
      <c r="B890">
        <f t="shared" si="78"/>
        <v>-0.70227032588630411</v>
      </c>
      <c r="C890" s="30">
        <f t="shared" si="80"/>
        <v>0.70227032588630411</v>
      </c>
      <c r="D890" s="30">
        <f t="shared" si="81"/>
        <v>2.7551767571982162</v>
      </c>
      <c r="E890" s="30">
        <f t="shared" si="83"/>
        <v>137.73284999999893</v>
      </c>
      <c r="F890" s="30">
        <f t="shared" si="79"/>
        <v>47.803680167714298</v>
      </c>
    </row>
    <row r="891" spans="1:6">
      <c r="A891" s="30">
        <f t="shared" si="82"/>
        <v>2.7583183498518058</v>
      </c>
      <c r="B891">
        <f t="shared" si="78"/>
        <v>-0.70413266093738014</v>
      </c>
      <c r="C891" s="30">
        <f t="shared" si="80"/>
        <v>0.70413266093738014</v>
      </c>
      <c r="D891" s="30">
        <f t="shared" si="81"/>
        <v>2.7583183498518058</v>
      </c>
      <c r="E891" s="30">
        <f t="shared" si="83"/>
        <v>137.88989999999893</v>
      </c>
      <c r="F891" s="30">
        <f t="shared" si="79"/>
        <v>47.805842699628499</v>
      </c>
    </row>
    <row r="892" spans="1:6">
      <c r="A892" s="30">
        <f t="shared" si="82"/>
        <v>2.7614599425053954</v>
      </c>
      <c r="B892">
        <f t="shared" si="78"/>
        <v>-0.70599980955577912</v>
      </c>
      <c r="C892" s="30">
        <f t="shared" si="80"/>
        <v>0.70599980955577912</v>
      </c>
      <c r="D892" s="30">
        <f t="shared" si="81"/>
        <v>2.7614599425053954</v>
      </c>
      <c r="E892" s="30">
        <f t="shared" si="83"/>
        <v>138.04694999999893</v>
      </c>
      <c r="F892" s="30">
        <f t="shared" si="79"/>
        <v>47.807990443582639</v>
      </c>
    </row>
    <row r="893" spans="1:6">
      <c r="A893" s="30">
        <f t="shared" si="82"/>
        <v>2.764601535158985</v>
      </c>
      <c r="B893">
        <f t="shared" si="78"/>
        <v>-0.70787182742789967</v>
      </c>
      <c r="C893" s="30">
        <f t="shared" si="80"/>
        <v>0.70787182742789967</v>
      </c>
      <c r="D893" s="30">
        <f t="shared" si="81"/>
        <v>2.764601535158985</v>
      </c>
      <c r="E893" s="30">
        <f t="shared" si="83"/>
        <v>138.20399999999893</v>
      </c>
      <c r="F893" s="30">
        <f t="shared" si="79"/>
        <v>47.810123314787461</v>
      </c>
    </row>
    <row r="894" spans="1:6">
      <c r="A894" s="30">
        <f t="shared" si="82"/>
        <v>2.7677431278125746</v>
      </c>
      <c r="B894">
        <f t="shared" si="78"/>
        <v>-0.70974877072370157</v>
      </c>
      <c r="C894" s="30">
        <f t="shared" si="80"/>
        <v>0.70974877072370157</v>
      </c>
      <c r="D894" s="30">
        <f t="shared" si="81"/>
        <v>2.7677431278125746</v>
      </c>
      <c r="E894" s="30">
        <f t="shared" si="83"/>
        <v>138.36104999999893</v>
      </c>
      <c r="F894" s="30">
        <f t="shared" si="79"/>
        <v>47.812241229040872</v>
      </c>
    </row>
    <row r="895" spans="1:6">
      <c r="A895" s="30">
        <f t="shared" si="82"/>
        <v>2.7708847204661642</v>
      </c>
      <c r="B895">
        <f t="shared" si="78"/>
        <v>-0.71163069610407592</v>
      </c>
      <c r="C895" s="30">
        <f t="shared" si="80"/>
        <v>0.71163069610407592</v>
      </c>
      <c r="D895" s="30">
        <f t="shared" si="81"/>
        <v>2.7708847204661642</v>
      </c>
      <c r="E895" s="30">
        <f t="shared" si="83"/>
        <v>138.51809999999892</v>
      </c>
      <c r="F895" s="30">
        <f t="shared" si="79"/>
        <v>47.814344102731233</v>
      </c>
    </row>
    <row r="896" spans="1:6">
      <c r="A896" s="30">
        <f t="shared" si="82"/>
        <v>2.7740263131197538</v>
      </c>
      <c r="B896">
        <f t="shared" si="78"/>
        <v>-0.71351766072832412</v>
      </c>
      <c r="C896" s="30">
        <f t="shared" si="80"/>
        <v>0.71351766072832412</v>
      </c>
      <c r="D896" s="30">
        <f t="shared" si="81"/>
        <v>2.7740263131197538</v>
      </c>
      <c r="E896" s="30">
        <f t="shared" si="83"/>
        <v>138.67514999999892</v>
      </c>
      <c r="F896" s="30">
        <f t="shared" si="79"/>
        <v>47.816431852840701</v>
      </c>
    </row>
    <row r="897" spans="1:6">
      <c r="A897" s="30">
        <f t="shared" si="82"/>
        <v>2.7771679057733434</v>
      </c>
      <c r="B897">
        <f t="shared" si="78"/>
        <v>-0.71540972226175048</v>
      </c>
      <c r="C897" s="30">
        <f t="shared" si="80"/>
        <v>0.71540972226175048</v>
      </c>
      <c r="D897" s="30">
        <f t="shared" si="81"/>
        <v>2.7771679057733434</v>
      </c>
      <c r="E897" s="30">
        <f t="shared" si="83"/>
        <v>138.83219999999892</v>
      </c>
      <c r="F897" s="30">
        <f t="shared" si="79"/>
        <v>47.81850439694847</v>
      </c>
    </row>
    <row r="898" spans="1:6">
      <c r="A898" s="30">
        <f t="shared" si="82"/>
        <v>2.780309498426933</v>
      </c>
      <c r="B898">
        <f t="shared" si="78"/>
        <v>-0.71730693888337083</v>
      </c>
      <c r="C898" s="30">
        <f t="shared" si="80"/>
        <v>0.71730693888337083</v>
      </c>
      <c r="D898" s="30">
        <f t="shared" si="81"/>
        <v>2.780309498426933</v>
      </c>
      <c r="E898" s="30">
        <f t="shared" si="83"/>
        <v>138.98924999999892</v>
      </c>
      <c r="F898" s="30">
        <f t="shared" si="79"/>
        <v>47.820561653234044</v>
      </c>
    </row>
    <row r="899" spans="1:6">
      <c r="A899" s="30">
        <f t="shared" si="82"/>
        <v>2.7834510910805226</v>
      </c>
      <c r="B899">
        <f t="shared" si="78"/>
        <v>-0.71920936929373724</v>
      </c>
      <c r="C899" s="30">
        <f t="shared" si="80"/>
        <v>0.71920936929373724</v>
      </c>
      <c r="D899" s="30">
        <f t="shared" si="81"/>
        <v>2.7834510910805226</v>
      </c>
      <c r="E899" s="30">
        <f t="shared" si="83"/>
        <v>139.14629999999892</v>
      </c>
      <c r="F899" s="30">
        <f t="shared" si="79"/>
        <v>47.822603540480479</v>
      </c>
    </row>
    <row r="900" spans="1:6">
      <c r="A900" s="30">
        <f t="shared" si="82"/>
        <v>2.7865926837341122</v>
      </c>
      <c r="B900">
        <f t="shared" si="78"/>
        <v>-0.72111707272288439</v>
      </c>
      <c r="C900" s="30">
        <f t="shared" si="80"/>
        <v>0.72111707272288439</v>
      </c>
      <c r="D900" s="30">
        <f t="shared" si="81"/>
        <v>2.7865926837341122</v>
      </c>
      <c r="E900" s="30">
        <f t="shared" si="83"/>
        <v>139.30334999999891</v>
      </c>
      <c r="F900" s="30">
        <f t="shared" si="79"/>
        <v>47.824629978077553</v>
      </c>
    </row>
    <row r="901" spans="1:6">
      <c r="A901" s="30">
        <f t="shared" si="82"/>
        <v>2.7897342763877018</v>
      </c>
      <c r="B901">
        <f t="shared" si="78"/>
        <v>-0.72303010893839592</v>
      </c>
      <c r="C901" s="30">
        <f t="shared" si="80"/>
        <v>0.72303010893839592</v>
      </c>
      <c r="D901" s="30">
        <f t="shared" si="81"/>
        <v>2.7897342763877018</v>
      </c>
      <c r="E901" s="30">
        <f t="shared" si="83"/>
        <v>139.46039999999891</v>
      </c>
      <c r="F901" s="30">
        <f t="shared" si="79"/>
        <v>47.826640886024983</v>
      </c>
    </row>
    <row r="902" spans="1:6">
      <c r="A902" s="30">
        <f t="shared" si="82"/>
        <v>2.7928758690412914</v>
      </c>
      <c r="B902">
        <f t="shared" si="78"/>
        <v>-0.72494853825359762</v>
      </c>
      <c r="C902" s="30">
        <f t="shared" si="80"/>
        <v>0.72494853825359762</v>
      </c>
      <c r="D902" s="30">
        <f t="shared" si="81"/>
        <v>2.7928758690412914</v>
      </c>
      <c r="E902" s="30">
        <f t="shared" si="83"/>
        <v>139.61744999999891</v>
      </c>
      <c r="F902" s="30">
        <f t="shared" si="79"/>
        <v>47.828636184935569</v>
      </c>
    </row>
    <row r="903" spans="1:6">
      <c r="A903" s="30">
        <f t="shared" si="82"/>
        <v>2.796017461694881</v>
      </c>
      <c r="B903">
        <f t="shared" si="78"/>
        <v>-0.72687242153587694</v>
      </c>
      <c r="C903" s="30">
        <f t="shared" si="80"/>
        <v>0.72687242153587694</v>
      </c>
      <c r="D903" s="30">
        <f t="shared" si="81"/>
        <v>2.796017461694881</v>
      </c>
      <c r="E903" s="30">
        <f t="shared" si="83"/>
        <v>139.77449999999891</v>
      </c>
      <c r="F903" s="30">
        <f t="shared" si="79"/>
        <v>47.830615796038323</v>
      </c>
    </row>
    <row r="904" spans="1:6">
      <c r="A904" s="30">
        <f t="shared" si="82"/>
        <v>2.7991590543484706</v>
      </c>
      <c r="B904">
        <f t="shared" si="78"/>
        <v>-0.7288018202151314</v>
      </c>
      <c r="C904" s="30">
        <f t="shared" si="80"/>
        <v>0.7288018202151314</v>
      </c>
      <c r="D904" s="30">
        <f t="shared" si="81"/>
        <v>2.7991590543484706</v>
      </c>
      <c r="E904" s="30">
        <f t="shared" si="83"/>
        <v>139.93154999999891</v>
      </c>
      <c r="F904" s="30">
        <f t="shared" si="79"/>
        <v>47.832579641181582</v>
      </c>
    </row>
    <row r="905" spans="1:6">
      <c r="A905" s="30">
        <f t="shared" si="82"/>
        <v>2.8023006470020602</v>
      </c>
      <c r="B905">
        <f t="shared" si="78"/>
        <v>-0.73073679629235078</v>
      </c>
      <c r="C905" s="30">
        <f t="shared" si="80"/>
        <v>0.73073679629235078</v>
      </c>
      <c r="D905" s="30">
        <f t="shared" si="81"/>
        <v>2.8023006470020602</v>
      </c>
      <c r="E905" s="30">
        <f t="shared" si="83"/>
        <v>140.08859999999891</v>
      </c>
      <c r="F905" s="30">
        <f t="shared" si="79"/>
        <v>47.834527642836115</v>
      </c>
    </row>
    <row r="906" spans="1:6">
      <c r="A906" s="30">
        <f t="shared" si="82"/>
        <v>2.8054422396556498</v>
      </c>
      <c r="B906">
        <f t="shared" si="78"/>
        <v>-0.73267741234833295</v>
      </c>
      <c r="C906" s="30">
        <f t="shared" si="80"/>
        <v>0.73267741234833295</v>
      </c>
      <c r="D906" s="30">
        <f t="shared" si="81"/>
        <v>2.8054422396556498</v>
      </c>
      <c r="E906" s="30">
        <f t="shared" si="83"/>
        <v>140.2456499999989</v>
      </c>
      <c r="F906" s="30">
        <f t="shared" si="79"/>
        <v>47.836459724098148</v>
      </c>
    </row>
    <row r="907" spans="1:6">
      <c r="A907" s="30">
        <f t="shared" si="82"/>
        <v>2.8085838323092394</v>
      </c>
      <c r="B907">
        <f t="shared" si="78"/>
        <v>-0.73462373155253813</v>
      </c>
      <c r="C907" s="30">
        <f t="shared" si="80"/>
        <v>0.73462373155253813</v>
      </c>
      <c r="D907" s="30">
        <f t="shared" si="81"/>
        <v>2.8085838323092394</v>
      </c>
      <c r="E907" s="30">
        <f t="shared" si="83"/>
        <v>140.4026999999989</v>
      </c>
      <c r="F907" s="30">
        <f t="shared" si="79"/>
        <v>47.838375808692419</v>
      </c>
    </row>
    <row r="908" spans="1:6">
      <c r="A908" s="30">
        <f t="shared" si="82"/>
        <v>2.811725424962829</v>
      </c>
      <c r="B908">
        <f t="shared" si="78"/>
        <v>-0.73657581767208358</v>
      </c>
      <c r="C908" s="30">
        <f t="shared" si="80"/>
        <v>0.73657581767208358</v>
      </c>
      <c r="D908" s="30">
        <f t="shared" si="81"/>
        <v>2.811725424962829</v>
      </c>
      <c r="E908" s="30">
        <f t="shared" si="83"/>
        <v>140.5597499999989</v>
      </c>
      <c r="F908" s="30">
        <f t="shared" si="79"/>
        <v>47.840275820975187</v>
      </c>
    </row>
    <row r="909" spans="1:6">
      <c r="A909" s="30">
        <f t="shared" si="82"/>
        <v>2.8148670176164186</v>
      </c>
      <c r="B909">
        <f t="shared" ref="B909:B972" si="84">$H$3*(SIN($H$4+A909)-SIN($H$5+A909))/(SIN($H$4+A909)-SIN(A909))-$H$6</f>
        <v>-0.73853373508088072</v>
      </c>
      <c r="C909" s="30">
        <f t="shared" si="80"/>
        <v>0.73853373508088072</v>
      </c>
      <c r="D909" s="30">
        <f t="shared" si="81"/>
        <v>2.8148670176164186</v>
      </c>
      <c r="E909" s="30">
        <f t="shared" si="83"/>
        <v>140.7167999999989</v>
      </c>
      <c r="F909" s="30">
        <f t="shared" ref="F909:F972" si="85">$M$5*SIN(2*PI()/$B$7*E909+$M$4)+$M$6</f>
        <v>47.842159685937226</v>
      </c>
    </row>
    <row r="910" spans="1:6">
      <c r="A910" s="30">
        <f t="shared" si="82"/>
        <v>2.8180086102700082</v>
      </c>
      <c r="B910">
        <f t="shared" si="84"/>
        <v>-0.74049754876891971</v>
      </c>
      <c r="C910" s="30">
        <f t="shared" ref="C910:C973" si="86">ABS(B910)</f>
        <v>0.74049754876891971</v>
      </c>
      <c r="D910" s="30">
        <f t="shared" ref="D910:D973" si="87">A910</f>
        <v>2.8180086102700082</v>
      </c>
      <c r="E910" s="30">
        <f t="shared" si="83"/>
        <v>140.8738499999989</v>
      </c>
      <c r="F910" s="30">
        <f t="shared" si="85"/>
        <v>47.844027329206767</v>
      </c>
    </row>
    <row r="911" spans="1:6">
      <c r="A911" s="30">
        <f t="shared" ref="A911:A974" si="88">A910+PI()/1000</f>
        <v>2.8211502029235977</v>
      </c>
      <c r="B911">
        <f t="shared" si="84"/>
        <v>-0.74246732435170171</v>
      </c>
      <c r="C911" s="30">
        <f t="shared" si="86"/>
        <v>0.74246732435170171</v>
      </c>
      <c r="D911" s="30">
        <f t="shared" si="87"/>
        <v>2.8211502029235977</v>
      </c>
      <c r="E911" s="30">
        <f t="shared" ref="E911:E974" si="89">E910+$B$7/1000</f>
        <v>141.03089999999889</v>
      </c>
      <c r="F911" s="30">
        <f t="shared" si="85"/>
        <v>47.845878677052454</v>
      </c>
    </row>
    <row r="912" spans="1:6">
      <c r="A912" s="30">
        <f t="shared" si="88"/>
        <v>2.8242917955771873</v>
      </c>
      <c r="B912">
        <f t="shared" si="84"/>
        <v>-0.74444312807982427</v>
      </c>
      <c r="C912" s="30">
        <f t="shared" si="86"/>
        <v>0.74444312807982427</v>
      </c>
      <c r="D912" s="30">
        <f t="shared" si="87"/>
        <v>2.8242917955771873</v>
      </c>
      <c r="E912" s="30">
        <f t="shared" si="89"/>
        <v>141.18794999999889</v>
      </c>
      <c r="F912" s="30">
        <f t="shared" si="85"/>
        <v>47.847713656386247</v>
      </c>
    </row>
    <row r="913" spans="1:6">
      <c r="A913" s="30">
        <f t="shared" si="88"/>
        <v>2.8274333882307769</v>
      </c>
      <c r="B913">
        <f t="shared" si="84"/>
        <v>-0.74642502684872181</v>
      </c>
      <c r="C913" s="30">
        <f t="shared" si="86"/>
        <v>0.74642502684872181</v>
      </c>
      <c r="D913" s="30">
        <f t="shared" si="87"/>
        <v>2.8274333882307769</v>
      </c>
      <c r="E913" s="30">
        <f t="shared" si="89"/>
        <v>141.34499999999889</v>
      </c>
      <c r="F913" s="30">
        <f t="shared" si="85"/>
        <v>47.849532194766304</v>
      </c>
    </row>
    <row r="914" spans="1:6">
      <c r="A914" s="30">
        <f t="shared" si="88"/>
        <v>2.8305749808843665</v>
      </c>
      <c r="B914">
        <f t="shared" si="84"/>
        <v>-0.74841308820856367</v>
      </c>
      <c r="C914" s="30">
        <f t="shared" si="86"/>
        <v>0.74841308820856367</v>
      </c>
      <c r="D914" s="30">
        <f t="shared" si="87"/>
        <v>2.8305749808843665</v>
      </c>
      <c r="E914" s="30">
        <f t="shared" si="89"/>
        <v>141.50204999999889</v>
      </c>
      <c r="F914" s="30">
        <f t="shared" si="85"/>
        <v>47.851334220399835</v>
      </c>
    </row>
    <row r="915" spans="1:6">
      <c r="A915" s="30">
        <f t="shared" si="88"/>
        <v>2.8337165735379561</v>
      </c>
      <c r="B915">
        <f t="shared" si="84"/>
        <v>-0.75040738037431476</v>
      </c>
      <c r="C915" s="30">
        <f t="shared" si="86"/>
        <v>0.75040738037431476</v>
      </c>
      <c r="D915" s="30">
        <f t="shared" si="87"/>
        <v>2.8337165735379561</v>
      </c>
      <c r="E915" s="30">
        <f t="shared" si="89"/>
        <v>141.65909999999889</v>
      </c>
      <c r="F915" s="30">
        <f t="shared" si="85"/>
        <v>47.853119662145964</v>
      </c>
    </row>
    <row r="916" spans="1:6">
      <c r="A916" s="30">
        <f t="shared" si="88"/>
        <v>2.8368581661915457</v>
      </c>
      <c r="B916">
        <f t="shared" si="84"/>
        <v>-0.75240797223596045</v>
      </c>
      <c r="C916" s="30">
        <f t="shared" si="86"/>
        <v>0.75240797223596045</v>
      </c>
      <c r="D916" s="30">
        <f t="shared" si="87"/>
        <v>2.8368581661915457</v>
      </c>
      <c r="E916" s="30">
        <f t="shared" si="89"/>
        <v>141.81614999999888</v>
      </c>
      <c r="F916" s="30">
        <f t="shared" si="85"/>
        <v>47.854888449518505</v>
      </c>
    </row>
    <row r="917" spans="1:6">
      <c r="A917" s="30">
        <f t="shared" si="88"/>
        <v>2.8399997588451353</v>
      </c>
      <c r="B917">
        <f t="shared" si="84"/>
        <v>-0.75441493336890009</v>
      </c>
      <c r="C917" s="30">
        <f t="shared" si="86"/>
        <v>0.75441493336890009</v>
      </c>
      <c r="D917" s="30">
        <f t="shared" si="87"/>
        <v>2.8399997588451353</v>
      </c>
      <c r="E917" s="30">
        <f t="shared" si="89"/>
        <v>141.97319999999888</v>
      </c>
      <c r="F917" s="30">
        <f t="shared" si="85"/>
        <v>47.856640512688756</v>
      </c>
    </row>
    <row r="918" spans="1:6">
      <c r="A918" s="30">
        <f t="shared" si="88"/>
        <v>2.8431413514987249</v>
      </c>
      <c r="B918">
        <f t="shared" si="84"/>
        <v>-0.75642833404451182</v>
      </c>
      <c r="C918" s="30">
        <f t="shared" si="86"/>
        <v>0.75642833404451182</v>
      </c>
      <c r="D918" s="30">
        <f t="shared" si="87"/>
        <v>2.8431413514987249</v>
      </c>
      <c r="E918" s="30">
        <f t="shared" si="89"/>
        <v>142.13024999999888</v>
      </c>
      <c r="F918" s="30">
        <f t="shared" si="85"/>
        <v>47.858375782488274</v>
      </c>
    </row>
    <row r="919" spans="1:6">
      <c r="A919" s="30">
        <f t="shared" si="88"/>
        <v>2.8462829441523145</v>
      </c>
      <c r="B919">
        <f t="shared" si="84"/>
        <v>-0.75844824524089316</v>
      </c>
      <c r="C919" s="30">
        <f t="shared" si="86"/>
        <v>0.75844824524089316</v>
      </c>
      <c r="D919" s="30">
        <f t="shared" si="87"/>
        <v>2.8462829441523145</v>
      </c>
      <c r="E919" s="30">
        <f t="shared" si="89"/>
        <v>142.28729999999888</v>
      </c>
      <c r="F919" s="30">
        <f t="shared" si="85"/>
        <v>47.860094190411566</v>
      </c>
    </row>
    <row r="920" spans="1:6">
      <c r="A920" s="30">
        <f t="shared" si="88"/>
        <v>2.8494245368059041</v>
      </c>
      <c r="B920">
        <f t="shared" si="84"/>
        <v>-0.76047473865378001</v>
      </c>
      <c r="C920" s="30">
        <f t="shared" si="86"/>
        <v>0.76047473865378001</v>
      </c>
      <c r="D920" s="30">
        <f t="shared" si="87"/>
        <v>2.8494245368059041</v>
      </c>
      <c r="E920" s="30">
        <f t="shared" si="89"/>
        <v>142.44434999999888</v>
      </c>
      <c r="F920" s="30">
        <f t="shared" si="85"/>
        <v>47.861795668618839</v>
      </c>
    </row>
    <row r="921" spans="1:6">
      <c r="A921" s="30">
        <f t="shared" si="88"/>
        <v>2.8525661294594937</v>
      </c>
      <c r="B921">
        <f t="shared" si="84"/>
        <v>-0.76250788670764824</v>
      </c>
      <c r="C921" s="30">
        <f t="shared" si="86"/>
        <v>0.76250788670764824</v>
      </c>
      <c r="D921" s="30">
        <f t="shared" si="87"/>
        <v>2.8525661294594937</v>
      </c>
      <c r="E921" s="30">
        <f t="shared" si="89"/>
        <v>142.60139999999888</v>
      </c>
      <c r="F921" s="30">
        <f t="shared" si="85"/>
        <v>47.863480149938638</v>
      </c>
    </row>
    <row r="922" spans="1:6">
      <c r="A922" s="30">
        <f t="shared" si="88"/>
        <v>2.8557077221130833</v>
      </c>
      <c r="B922">
        <f t="shared" si="84"/>
        <v>-0.7645477625670023</v>
      </c>
      <c r="C922" s="30">
        <f t="shared" si="86"/>
        <v>0.7645477625670023</v>
      </c>
      <c r="D922" s="30">
        <f t="shared" si="87"/>
        <v>2.8557077221130833</v>
      </c>
      <c r="E922" s="30">
        <f t="shared" si="89"/>
        <v>142.75844999999887</v>
      </c>
      <c r="F922" s="30">
        <f t="shared" si="85"/>
        <v>47.86514756787053</v>
      </c>
    </row>
    <row r="923" spans="1:6">
      <c r="A923" s="30">
        <f t="shared" si="88"/>
        <v>2.8588493147666729</v>
      </c>
      <c r="B923">
        <f t="shared" si="84"/>
        <v>-0.76659444014785239</v>
      </c>
      <c r="C923" s="30">
        <f t="shared" si="86"/>
        <v>0.76659444014785239</v>
      </c>
      <c r="D923" s="30">
        <f t="shared" si="87"/>
        <v>2.8588493147666729</v>
      </c>
      <c r="E923" s="30">
        <f t="shared" si="89"/>
        <v>142.91549999999887</v>
      </c>
      <c r="F923" s="30">
        <f t="shared" si="85"/>
        <v>47.866797856587716</v>
      </c>
    </row>
    <row r="924" spans="1:6">
      <c r="A924" s="30">
        <f t="shared" si="88"/>
        <v>2.8619909074202625</v>
      </c>
      <c r="B924">
        <f t="shared" si="84"/>
        <v>-0.76864799412938778</v>
      </c>
      <c r="C924" s="30">
        <f t="shared" si="86"/>
        <v>0.76864799412938778</v>
      </c>
      <c r="D924" s="30">
        <f t="shared" si="87"/>
        <v>2.8619909074202625</v>
      </c>
      <c r="E924" s="30">
        <f t="shared" si="89"/>
        <v>143.07254999999887</v>
      </c>
      <c r="F924" s="30">
        <f t="shared" si="85"/>
        <v>47.868430950939612</v>
      </c>
    </row>
    <row r="925" spans="1:6">
      <c r="A925" s="30">
        <f t="shared" si="88"/>
        <v>2.8651325000738521</v>
      </c>
      <c r="B925">
        <f t="shared" si="84"/>
        <v>-0.77070849996584689</v>
      </c>
      <c r="C925" s="30">
        <f t="shared" si="86"/>
        <v>0.77070849996584689</v>
      </c>
      <c r="D925" s="30">
        <f t="shared" si="87"/>
        <v>2.8651325000738521</v>
      </c>
      <c r="E925" s="30">
        <f t="shared" si="89"/>
        <v>143.22959999999887</v>
      </c>
      <c r="F925" s="30">
        <f t="shared" si="85"/>
        <v>47.870046786454452</v>
      </c>
    </row>
    <row r="926" spans="1:6">
      <c r="A926" s="30">
        <f t="shared" si="88"/>
        <v>2.8682740927274417</v>
      </c>
      <c r="B926">
        <f t="shared" si="84"/>
        <v>-0.77277603389859029</v>
      </c>
      <c r="C926" s="30">
        <f t="shared" si="86"/>
        <v>0.77277603389859029</v>
      </c>
      <c r="D926" s="30">
        <f t="shared" si="87"/>
        <v>2.8682740927274417</v>
      </c>
      <c r="E926" s="30">
        <f t="shared" si="89"/>
        <v>143.38664999999887</v>
      </c>
      <c r="F926" s="30">
        <f t="shared" si="85"/>
        <v>47.871645299341822</v>
      </c>
    </row>
    <row r="927" spans="1:6">
      <c r="A927" s="30">
        <f t="shared" si="88"/>
        <v>2.8714156853810313</v>
      </c>
      <c r="B927">
        <f t="shared" si="84"/>
        <v>-0.77485067296838017</v>
      </c>
      <c r="C927" s="30">
        <f t="shared" si="86"/>
        <v>0.77485067296838017</v>
      </c>
      <c r="D927" s="30">
        <f t="shared" si="87"/>
        <v>2.8714156853810313</v>
      </c>
      <c r="E927" s="30">
        <f t="shared" si="89"/>
        <v>143.54369999999886</v>
      </c>
      <c r="F927" s="30">
        <f t="shared" si="85"/>
        <v>47.873226426495172</v>
      </c>
    </row>
    <row r="928" spans="1:6">
      <c r="A928" s="30">
        <f t="shared" si="88"/>
        <v>2.8745572780346209</v>
      </c>
      <c r="B928">
        <f t="shared" si="84"/>
        <v>-0.77693249502787021</v>
      </c>
      <c r="C928" s="30">
        <f t="shared" si="86"/>
        <v>0.77693249502787021</v>
      </c>
      <c r="D928" s="30">
        <f t="shared" si="87"/>
        <v>2.8745572780346209</v>
      </c>
      <c r="E928" s="30">
        <f t="shared" si="89"/>
        <v>143.70074999999886</v>
      </c>
      <c r="F928" s="30">
        <f t="shared" si="85"/>
        <v>47.874790105494299</v>
      </c>
    </row>
    <row r="929" spans="1:6">
      <c r="A929" s="30">
        <f t="shared" si="88"/>
        <v>2.8776988706882105</v>
      </c>
      <c r="B929">
        <f t="shared" si="84"/>
        <v>-0.77902157875431199</v>
      </c>
      <c r="C929" s="30">
        <f t="shared" si="86"/>
        <v>0.77902157875431199</v>
      </c>
      <c r="D929" s="30">
        <f t="shared" si="87"/>
        <v>2.8776988706882105</v>
      </c>
      <c r="E929" s="30">
        <f t="shared" si="89"/>
        <v>143.85779999999886</v>
      </c>
      <c r="F929" s="30">
        <f t="shared" si="85"/>
        <v>47.876336274607837</v>
      </c>
    </row>
    <row r="930" spans="1:6">
      <c r="A930" s="30">
        <f t="shared" si="88"/>
        <v>2.8808404633418001</v>
      </c>
      <c r="B930">
        <f t="shared" si="84"/>
        <v>-0.78111800366247985</v>
      </c>
      <c r="C930" s="30">
        <f t="shared" si="86"/>
        <v>0.78111800366247985</v>
      </c>
      <c r="D930" s="30">
        <f t="shared" si="87"/>
        <v>2.8808404633418001</v>
      </c>
      <c r="E930" s="30">
        <f t="shared" si="89"/>
        <v>144.01484999999886</v>
      </c>
      <c r="F930" s="30">
        <f t="shared" si="85"/>
        <v>47.877864872795683</v>
      </c>
    </row>
    <row r="931" spans="1:6">
      <c r="A931" s="30">
        <f t="shared" si="88"/>
        <v>2.8839820559953897</v>
      </c>
      <c r="B931">
        <f t="shared" si="84"/>
        <v>-0.78322185011782142</v>
      </c>
      <c r="C931" s="30">
        <f t="shared" si="86"/>
        <v>0.78322185011782142</v>
      </c>
      <c r="D931" s="30">
        <f t="shared" si="87"/>
        <v>2.8839820559953897</v>
      </c>
      <c r="E931" s="30">
        <f t="shared" si="89"/>
        <v>144.17189999999886</v>
      </c>
      <c r="F931" s="30">
        <f t="shared" si="85"/>
        <v>47.879375839711393</v>
      </c>
    </row>
    <row r="932" spans="1:6">
      <c r="A932" s="30">
        <f t="shared" si="88"/>
        <v>2.8871236486489793</v>
      </c>
      <c r="B932">
        <f t="shared" si="84"/>
        <v>-0.78533319934983636</v>
      </c>
      <c r="C932" s="30">
        <f t="shared" si="86"/>
        <v>0.78533319934983636</v>
      </c>
      <c r="D932" s="30">
        <f t="shared" si="87"/>
        <v>2.8871236486489793</v>
      </c>
      <c r="E932" s="30">
        <f t="shared" si="89"/>
        <v>144.32894999999885</v>
      </c>
      <c r="F932" s="30">
        <f t="shared" si="85"/>
        <v>47.880869115704584</v>
      </c>
    </row>
    <row r="933" spans="1:6">
      <c r="A933" s="30">
        <f t="shared" si="88"/>
        <v>2.8902652413025689</v>
      </c>
      <c r="B933">
        <f t="shared" si="84"/>
        <v>-0.78745213346569032</v>
      </c>
      <c r="C933" s="30">
        <f t="shared" si="86"/>
        <v>0.78745213346569032</v>
      </c>
      <c r="D933" s="30">
        <f t="shared" si="87"/>
        <v>2.8902652413025689</v>
      </c>
      <c r="E933" s="30">
        <f t="shared" si="89"/>
        <v>144.48599999999885</v>
      </c>
      <c r="F933" s="30">
        <f t="shared" si="85"/>
        <v>47.882344641823273</v>
      </c>
    </row>
    <row r="934" spans="1:6">
      <c r="A934" s="30">
        <f t="shared" si="88"/>
        <v>2.8934068339561585</v>
      </c>
      <c r="B934">
        <f t="shared" si="84"/>
        <v>-0.78957873546406732</v>
      </c>
      <c r="C934" s="30">
        <f t="shared" si="86"/>
        <v>0.78957873546406732</v>
      </c>
      <c r="D934" s="30">
        <f t="shared" si="87"/>
        <v>2.8934068339561585</v>
      </c>
      <c r="E934" s="30">
        <f t="shared" si="89"/>
        <v>144.64304999999885</v>
      </c>
      <c r="F934" s="30">
        <f t="shared" si="85"/>
        <v>47.883802359816215</v>
      </c>
    </row>
    <row r="935" spans="1:6">
      <c r="A935" s="30">
        <f t="shared" si="88"/>
        <v>2.8965484266097481</v>
      </c>
      <c r="B935">
        <f t="shared" si="84"/>
        <v>-0.79171308924926698</v>
      </c>
      <c r="C935" s="30">
        <f t="shared" si="86"/>
        <v>0.79171308924926698</v>
      </c>
      <c r="D935" s="30">
        <f t="shared" si="87"/>
        <v>2.8965484266097481</v>
      </c>
      <c r="E935" s="30">
        <f t="shared" si="89"/>
        <v>144.80009999999885</v>
      </c>
      <c r="F935" s="30">
        <f t="shared" si="85"/>
        <v>47.885242212135203</v>
      </c>
    </row>
    <row r="936" spans="1:6">
      <c r="A936" s="30">
        <f t="shared" si="88"/>
        <v>2.8996900192633377</v>
      </c>
      <c r="B936">
        <f t="shared" si="84"/>
        <v>-0.79385527964555036</v>
      </c>
      <c r="C936" s="30">
        <f t="shared" si="86"/>
        <v>0.79385527964555036</v>
      </c>
      <c r="D936" s="30">
        <f t="shared" si="87"/>
        <v>2.8996900192633377</v>
      </c>
      <c r="E936" s="30">
        <f t="shared" si="89"/>
        <v>144.95714999999885</v>
      </c>
      <c r="F936" s="30">
        <f t="shared" si="85"/>
        <v>47.886664141937324</v>
      </c>
    </row>
    <row r="937" spans="1:6">
      <c r="A937" s="30">
        <f t="shared" si="88"/>
        <v>2.9028316119169273</v>
      </c>
      <c r="B937">
        <f t="shared" si="84"/>
        <v>-0.7960053924117414</v>
      </c>
      <c r="C937" s="30">
        <f t="shared" si="86"/>
        <v>0.7960053924117414</v>
      </c>
      <c r="D937" s="30">
        <f t="shared" si="87"/>
        <v>2.9028316119169273</v>
      </c>
      <c r="E937" s="30">
        <f t="shared" si="89"/>
        <v>145.11419999999885</v>
      </c>
      <c r="F937" s="30">
        <f t="shared" si="85"/>
        <v>47.888068093087242</v>
      </c>
    </row>
    <row r="938" spans="1:6">
      <c r="A938" s="30">
        <f t="shared" si="88"/>
        <v>2.9059732045705169</v>
      </c>
      <c r="B938">
        <f t="shared" si="84"/>
        <v>-0.798163514256088</v>
      </c>
      <c r="C938" s="30">
        <f t="shared" si="86"/>
        <v>0.798163514256088</v>
      </c>
      <c r="D938" s="30">
        <f t="shared" si="87"/>
        <v>2.9059732045705169</v>
      </c>
      <c r="E938" s="30">
        <f t="shared" si="89"/>
        <v>145.27124999999884</v>
      </c>
      <c r="F938" s="30">
        <f t="shared" si="85"/>
        <v>47.889454010159348</v>
      </c>
    </row>
    <row r="939" spans="1:6">
      <c r="A939" s="30">
        <f t="shared" si="88"/>
        <v>2.9091147972241065</v>
      </c>
      <c r="B939">
        <f t="shared" si="84"/>
        <v>-0.80032973285139031</v>
      </c>
      <c r="C939" s="30">
        <f t="shared" si="86"/>
        <v>0.80032973285139031</v>
      </c>
      <c r="D939" s="30">
        <f t="shared" si="87"/>
        <v>2.9091147972241065</v>
      </c>
      <c r="E939" s="30">
        <f t="shared" si="89"/>
        <v>145.42829999999884</v>
      </c>
      <c r="F939" s="30">
        <f t="shared" si="85"/>
        <v>47.890821838440026</v>
      </c>
    </row>
    <row r="940" spans="1:6">
      <c r="A940" s="30">
        <f t="shared" si="88"/>
        <v>2.9122563898776961</v>
      </c>
      <c r="B940">
        <f t="shared" si="84"/>
        <v>-0.80250413685039901</v>
      </c>
      <c r="C940" s="30">
        <f t="shared" si="86"/>
        <v>0.80250413685039901</v>
      </c>
      <c r="D940" s="30">
        <f t="shared" si="87"/>
        <v>2.9122563898776961</v>
      </c>
      <c r="E940" s="30">
        <f t="shared" si="89"/>
        <v>145.58534999999884</v>
      </c>
      <c r="F940" s="30">
        <f t="shared" si="85"/>
        <v>47.892171523929747</v>
      </c>
    </row>
    <row r="941" spans="1:6">
      <c r="A941" s="30">
        <f t="shared" si="88"/>
        <v>2.9153979825312857</v>
      </c>
      <c r="B941">
        <f t="shared" si="84"/>
        <v>-0.8046868159014926</v>
      </c>
      <c r="C941" s="30">
        <f t="shared" si="86"/>
        <v>0.8046868159014926</v>
      </c>
      <c r="D941" s="30">
        <f t="shared" si="87"/>
        <v>2.9153979825312857</v>
      </c>
      <c r="E941" s="30">
        <f t="shared" si="89"/>
        <v>145.74239999999884</v>
      </c>
      <c r="F941" s="30">
        <f t="shared" si="85"/>
        <v>47.893503013345246</v>
      </c>
    </row>
    <row r="942" spans="1:6">
      <c r="A942" s="30">
        <f t="shared" si="88"/>
        <v>2.9185395751848753</v>
      </c>
      <c r="B942">
        <f t="shared" si="84"/>
        <v>-0.8068778606646374</v>
      </c>
      <c r="C942" s="30">
        <f t="shared" si="86"/>
        <v>0.8068778606646374</v>
      </c>
      <c r="D942" s="30">
        <f t="shared" si="87"/>
        <v>2.9185395751848753</v>
      </c>
      <c r="E942" s="30">
        <f t="shared" si="89"/>
        <v>145.89944999999884</v>
      </c>
      <c r="F942" s="30">
        <f t="shared" si="85"/>
        <v>47.894816254121601</v>
      </c>
    </row>
    <row r="943" spans="1:6">
      <c r="A943" s="30">
        <f t="shared" si="88"/>
        <v>2.9216811678384649</v>
      </c>
      <c r="B943">
        <f t="shared" si="84"/>
        <v>-0.80907736282763765</v>
      </c>
      <c r="C943" s="30">
        <f t="shared" si="86"/>
        <v>0.80907736282763765</v>
      </c>
      <c r="D943" s="30">
        <f t="shared" si="87"/>
        <v>2.9216811678384649</v>
      </c>
      <c r="E943" s="30">
        <f t="shared" si="89"/>
        <v>146.05649999999883</v>
      </c>
      <c r="F943" s="30">
        <f t="shared" si="85"/>
        <v>47.896111194414303</v>
      </c>
    </row>
    <row r="944" spans="1:6">
      <c r="A944" s="30">
        <f t="shared" si="88"/>
        <v>2.9248227604920545</v>
      </c>
      <c r="B944">
        <f t="shared" si="84"/>
        <v>-0.81128541512268226</v>
      </c>
      <c r="C944" s="30">
        <f t="shared" si="86"/>
        <v>0.81128541512268226</v>
      </c>
      <c r="D944" s="30">
        <f t="shared" si="87"/>
        <v>2.9248227604920545</v>
      </c>
      <c r="E944" s="30">
        <f t="shared" si="89"/>
        <v>146.21354999999883</v>
      </c>
      <c r="F944" s="30">
        <f t="shared" si="85"/>
        <v>47.897387783101344</v>
      </c>
    </row>
    <row r="945" spans="1:6">
      <c r="A945" s="30">
        <f t="shared" si="88"/>
        <v>2.9279643531456441</v>
      </c>
      <c r="B945">
        <f t="shared" si="84"/>
        <v>-0.8135021113431935</v>
      </c>
      <c r="C945" s="30">
        <f t="shared" si="86"/>
        <v>0.8135021113431935</v>
      </c>
      <c r="D945" s="30">
        <f t="shared" si="87"/>
        <v>2.9279643531456441</v>
      </c>
      <c r="E945" s="30">
        <f t="shared" si="89"/>
        <v>146.37059999999883</v>
      </c>
      <c r="F945" s="30">
        <f t="shared" si="85"/>
        <v>47.898645969785171</v>
      </c>
    </row>
    <row r="946" spans="1:6">
      <c r="A946" s="30">
        <f t="shared" si="88"/>
        <v>2.9311059457992337</v>
      </c>
      <c r="B946">
        <f t="shared" si="84"/>
        <v>-0.81572754636098521</v>
      </c>
      <c r="C946" s="30">
        <f t="shared" si="86"/>
        <v>0.81572754636098521</v>
      </c>
      <c r="D946" s="30">
        <f t="shared" si="87"/>
        <v>2.9311059457992337</v>
      </c>
      <c r="E946" s="30">
        <f t="shared" si="89"/>
        <v>146.52764999999883</v>
      </c>
      <c r="F946" s="30">
        <f t="shared" si="85"/>
        <v>47.899885704794748</v>
      </c>
    </row>
    <row r="947" spans="1:6">
      <c r="A947" s="30">
        <f t="shared" si="88"/>
        <v>2.9342475384528233</v>
      </c>
      <c r="B947">
        <f t="shared" si="84"/>
        <v>-0.81796181614373797</v>
      </c>
      <c r="C947" s="30">
        <f t="shared" si="86"/>
        <v>0.81796181614373797</v>
      </c>
      <c r="D947" s="30">
        <f t="shared" si="87"/>
        <v>2.9342475384528233</v>
      </c>
      <c r="E947" s="30">
        <f t="shared" si="89"/>
        <v>146.68469999999883</v>
      </c>
      <c r="F947" s="30">
        <f t="shared" si="85"/>
        <v>47.901106939187436</v>
      </c>
    </row>
    <row r="948" spans="1:6">
      <c r="A948" s="30">
        <f t="shared" si="88"/>
        <v>2.9373891311064129</v>
      </c>
      <c r="B948">
        <f t="shared" si="84"/>
        <v>-0.82020501777279575</v>
      </c>
      <c r="C948" s="30">
        <f t="shared" si="86"/>
        <v>0.82020501777279575</v>
      </c>
      <c r="D948" s="30">
        <f t="shared" si="87"/>
        <v>2.9373891311064129</v>
      </c>
      <c r="E948" s="30">
        <f t="shared" si="89"/>
        <v>146.84174999999883</v>
      </c>
      <c r="F948" s="30">
        <f t="shared" si="85"/>
        <v>47.902309624751013</v>
      </c>
    </row>
    <row r="949" spans="1:6">
      <c r="A949" s="30">
        <f t="shared" si="88"/>
        <v>2.9405307237600025</v>
      </c>
      <c r="B949">
        <f t="shared" si="84"/>
        <v>-0.82245724946129406</v>
      </c>
      <c r="C949" s="30">
        <f t="shared" si="86"/>
        <v>0.82245724946129406</v>
      </c>
      <c r="D949" s="30">
        <f t="shared" si="87"/>
        <v>2.9405307237600025</v>
      </c>
      <c r="E949" s="30">
        <f t="shared" si="89"/>
        <v>146.99879999999882</v>
      </c>
      <c r="F949" s="30">
        <f t="shared" si="85"/>
        <v>47.903493714005499</v>
      </c>
    </row>
    <row r="950" spans="1:6">
      <c r="A950" s="30">
        <f t="shared" si="88"/>
        <v>2.9436723164135921</v>
      </c>
      <c r="B950">
        <f t="shared" si="84"/>
        <v>-0.82471861057262652</v>
      </c>
      <c r="C950" s="30">
        <f t="shared" si="86"/>
        <v>0.82471861057262652</v>
      </c>
      <c r="D950" s="30">
        <f t="shared" si="87"/>
        <v>2.9436723164135921</v>
      </c>
      <c r="E950" s="30">
        <f t="shared" si="89"/>
        <v>147.15584999999882</v>
      </c>
      <c r="F950" s="30">
        <f t="shared" si="85"/>
        <v>47.904659160205085</v>
      </c>
    </row>
    <row r="951" spans="1:6">
      <c r="A951" s="30">
        <f t="shared" si="88"/>
        <v>2.9468139090671817</v>
      </c>
      <c r="B951">
        <f t="shared" si="84"/>
        <v>-0.82698920163925427</v>
      </c>
      <c r="C951" s="30">
        <f t="shared" si="86"/>
        <v>0.82698920163925427</v>
      </c>
      <c r="D951" s="30">
        <f t="shared" si="87"/>
        <v>2.9468139090671817</v>
      </c>
      <c r="E951" s="30">
        <f t="shared" si="89"/>
        <v>147.31289999999882</v>
      </c>
      <c r="F951" s="30">
        <f t="shared" si="85"/>
        <v>47.905805917339954</v>
      </c>
    </row>
    <row r="952" spans="1:6">
      <c r="A952" s="30">
        <f t="shared" si="88"/>
        <v>2.9499555017207713</v>
      </c>
      <c r="B952">
        <f t="shared" si="84"/>
        <v>-0.8292691243818705</v>
      </c>
      <c r="C952" s="30">
        <f t="shared" si="86"/>
        <v>0.8292691243818705</v>
      </c>
      <c r="D952" s="30">
        <f t="shared" si="87"/>
        <v>2.9499555017207713</v>
      </c>
      <c r="E952" s="30">
        <f t="shared" si="89"/>
        <v>147.46994999999882</v>
      </c>
      <c r="F952" s="30">
        <f t="shared" si="85"/>
        <v>47.906933940138082</v>
      </c>
    </row>
    <row r="953" spans="1:6">
      <c r="A953" s="30">
        <f t="shared" si="88"/>
        <v>2.9530970943743609</v>
      </c>
      <c r="B953">
        <f t="shared" si="84"/>
        <v>-0.83155848172892521</v>
      </c>
      <c r="C953" s="30">
        <f t="shared" si="86"/>
        <v>0.83155848172892521</v>
      </c>
      <c r="D953" s="30">
        <f t="shared" si="87"/>
        <v>2.9530970943743609</v>
      </c>
      <c r="E953" s="30">
        <f t="shared" si="89"/>
        <v>147.62699999999882</v>
      </c>
      <c r="F953" s="30">
        <f t="shared" si="85"/>
        <v>47.908043184067076</v>
      </c>
    </row>
    <row r="954" spans="1:6">
      <c r="A954" s="30">
        <f t="shared" si="88"/>
        <v>2.9562386870279505</v>
      </c>
      <c r="B954">
        <f t="shared" si="84"/>
        <v>-0.83385737783651792</v>
      </c>
      <c r="C954" s="30">
        <f t="shared" si="86"/>
        <v>0.83385737783651792</v>
      </c>
      <c r="D954" s="30">
        <f t="shared" si="87"/>
        <v>2.9562386870279505</v>
      </c>
      <c r="E954" s="30">
        <f t="shared" si="89"/>
        <v>147.78404999999881</v>
      </c>
      <c r="F954" s="30">
        <f t="shared" si="85"/>
        <v>47.909133605335882</v>
      </c>
    </row>
    <row r="955" spans="1:6">
      <c r="A955" s="30">
        <f t="shared" si="88"/>
        <v>2.95938027968154</v>
      </c>
      <c r="B955">
        <f t="shared" si="84"/>
        <v>-0.8361659181086698</v>
      </c>
      <c r="C955" s="30">
        <f t="shared" si="86"/>
        <v>0.8361659181086698</v>
      </c>
      <c r="D955" s="30">
        <f t="shared" si="87"/>
        <v>2.95938027968154</v>
      </c>
      <c r="E955" s="30">
        <f t="shared" si="89"/>
        <v>147.94109999999881</v>
      </c>
      <c r="F955" s="30">
        <f t="shared" si="85"/>
        <v>47.910205160896524</v>
      </c>
    </row>
    <row r="956" spans="1:6">
      <c r="A956" s="30">
        <f t="shared" si="88"/>
        <v>2.9625218723351296</v>
      </c>
      <c r="B956">
        <f t="shared" si="84"/>
        <v>-0.83848420921797917</v>
      </c>
      <c r="C956" s="30">
        <f t="shared" si="86"/>
        <v>0.83848420921797917</v>
      </c>
      <c r="D956" s="30">
        <f t="shared" si="87"/>
        <v>2.9625218723351296</v>
      </c>
      <c r="E956" s="30">
        <f t="shared" si="89"/>
        <v>148.09814999999881</v>
      </c>
      <c r="F956" s="30">
        <f t="shared" si="85"/>
        <v>47.911257808445839</v>
      </c>
    </row>
    <row r="957" spans="1:6">
      <c r="A957" s="30">
        <f t="shared" si="88"/>
        <v>2.9656634649887192</v>
      </c>
      <c r="B957">
        <f t="shared" si="84"/>
        <v>-0.84081235912667407</v>
      </c>
      <c r="C957" s="30">
        <f t="shared" si="86"/>
        <v>0.84081235912667407</v>
      </c>
      <c r="D957" s="30">
        <f t="shared" si="87"/>
        <v>2.9656634649887192</v>
      </c>
      <c r="E957" s="30">
        <f t="shared" si="89"/>
        <v>148.25519999999881</v>
      </c>
      <c r="F957" s="30">
        <f t="shared" si="85"/>
        <v>47.912291506427096</v>
      </c>
    </row>
    <row r="958" spans="1:6">
      <c r="A958" s="30">
        <f t="shared" si="88"/>
        <v>2.9688050576423088</v>
      </c>
      <c r="B958">
        <f t="shared" si="84"/>
        <v>-0.84315047710806645</v>
      </c>
      <c r="C958" s="30">
        <f t="shared" si="86"/>
        <v>0.84315047710806645</v>
      </c>
      <c r="D958" s="30">
        <f t="shared" si="87"/>
        <v>2.9688050576423088</v>
      </c>
      <c r="E958" s="30">
        <f t="shared" si="89"/>
        <v>148.41224999999881</v>
      </c>
      <c r="F958" s="30">
        <f t="shared" si="85"/>
        <v>47.913306214031671</v>
      </c>
    </row>
    <row r="959" spans="1:6">
      <c r="A959" s="30">
        <f t="shared" si="88"/>
        <v>2.9719466502958984</v>
      </c>
      <c r="B959">
        <f t="shared" si="84"/>
        <v>-0.84549867376842069</v>
      </c>
      <c r="C959" s="30">
        <f t="shared" si="86"/>
        <v>0.84549867376842069</v>
      </c>
      <c r="D959" s="30">
        <f t="shared" si="87"/>
        <v>2.9719466502958984</v>
      </c>
      <c r="E959" s="30">
        <f t="shared" si="89"/>
        <v>148.5692999999988</v>
      </c>
      <c r="F959" s="30">
        <f t="shared" si="85"/>
        <v>47.914301891200644</v>
      </c>
    </row>
    <row r="960" spans="1:6">
      <c r="A960" s="30">
        <f t="shared" si="88"/>
        <v>2.975088242949488</v>
      </c>
      <c r="B960">
        <f t="shared" si="84"/>
        <v>-0.84785706106924308</v>
      </c>
      <c r="C960" s="30">
        <f t="shared" si="86"/>
        <v>0.84785706106924308</v>
      </c>
      <c r="D960" s="30">
        <f t="shared" si="87"/>
        <v>2.975088242949488</v>
      </c>
      <c r="E960" s="30">
        <f t="shared" si="89"/>
        <v>148.7263499999988</v>
      </c>
      <c r="F960" s="30">
        <f t="shared" si="85"/>
        <v>47.915278498626385</v>
      </c>
    </row>
    <row r="961" spans="1:6">
      <c r="A961" s="30">
        <f t="shared" si="88"/>
        <v>2.9782298356030776</v>
      </c>
      <c r="B961">
        <f t="shared" si="84"/>
        <v>-0.8502257523500053</v>
      </c>
      <c r="C961" s="30">
        <f t="shared" si="86"/>
        <v>0.8502257523500053</v>
      </c>
      <c r="D961" s="30">
        <f t="shared" si="87"/>
        <v>2.9782298356030776</v>
      </c>
      <c r="E961" s="30">
        <f t="shared" si="89"/>
        <v>148.8833999999988</v>
      </c>
      <c r="F961" s="30">
        <f t="shared" si="85"/>
        <v>47.9162359977541</v>
      </c>
    </row>
    <row r="962" spans="1:6">
      <c r="A962" s="30">
        <f t="shared" si="88"/>
        <v>2.9813714282566672</v>
      </c>
      <c r="B962">
        <f t="shared" si="84"/>
        <v>-0.85260486235130739</v>
      </c>
      <c r="C962" s="30">
        <f t="shared" si="86"/>
        <v>0.85260486235130739</v>
      </c>
      <c r="D962" s="30">
        <f t="shared" si="87"/>
        <v>2.9813714282566672</v>
      </c>
      <c r="E962" s="30">
        <f t="shared" si="89"/>
        <v>149.0404499999988</v>
      </c>
      <c r="F962" s="30">
        <f t="shared" si="85"/>
        <v>47.917174350783377</v>
      </c>
    </row>
    <row r="963" spans="1:6">
      <c r="A963" s="30">
        <f t="shared" si="88"/>
        <v>2.9845130209102568</v>
      </c>
      <c r="B963">
        <f t="shared" si="84"/>
        <v>-0.85499450723849546</v>
      </c>
      <c r="C963" s="30">
        <f t="shared" si="86"/>
        <v>0.85499450723849546</v>
      </c>
      <c r="D963" s="30">
        <f t="shared" si="87"/>
        <v>2.9845130209102568</v>
      </c>
      <c r="E963" s="30">
        <f t="shared" si="89"/>
        <v>149.1974999999988</v>
      </c>
      <c r="F963" s="30">
        <f t="shared" si="85"/>
        <v>47.918093520669629</v>
      </c>
    </row>
    <row r="964" spans="1:6">
      <c r="A964" s="30">
        <f t="shared" si="88"/>
        <v>2.9876546135638464</v>
      </c>
      <c r="B964">
        <f t="shared" si="84"/>
        <v>-0.85739480462573958</v>
      </c>
      <c r="C964" s="30">
        <f t="shared" si="86"/>
        <v>0.85739480462573958</v>
      </c>
      <c r="D964" s="30">
        <f t="shared" si="87"/>
        <v>2.9876546135638464</v>
      </c>
      <c r="E964" s="30">
        <f t="shared" si="89"/>
        <v>149.3545499999988</v>
      </c>
      <c r="F964" s="30">
        <f t="shared" si="85"/>
        <v>47.918993471125617</v>
      </c>
    </row>
    <row r="965" spans="1:6">
      <c r="A965" s="30">
        <f t="shared" si="88"/>
        <v>2.990796206217436</v>
      </c>
      <c r="B965">
        <f t="shared" si="84"/>
        <v>-0.85980587360058847</v>
      </c>
      <c r="C965" s="30">
        <f t="shared" si="86"/>
        <v>0.85980587360058847</v>
      </c>
      <c r="D965" s="30">
        <f t="shared" si="87"/>
        <v>2.990796206217436</v>
      </c>
      <c r="E965" s="30">
        <f t="shared" si="89"/>
        <v>149.51159999999879</v>
      </c>
      <c r="F965" s="30">
        <f t="shared" si="85"/>
        <v>47.919874166622833</v>
      </c>
    </row>
    <row r="966" spans="1:6">
      <c r="A966" s="30">
        <f t="shared" si="88"/>
        <v>2.9939377988710256</v>
      </c>
      <c r="B966">
        <f t="shared" si="84"/>
        <v>-0.86222783474900533</v>
      </c>
      <c r="C966" s="30">
        <f t="shared" si="86"/>
        <v>0.86222783474900533</v>
      </c>
      <c r="D966" s="30">
        <f t="shared" si="87"/>
        <v>2.9939377988710256</v>
      </c>
      <c r="E966" s="30">
        <f t="shared" si="89"/>
        <v>149.66864999999879</v>
      </c>
      <c r="F966" s="30">
        <f t="shared" si="85"/>
        <v>47.920735572392914</v>
      </c>
    </row>
    <row r="967" spans="1:6">
      <c r="A967" s="30">
        <f t="shared" si="88"/>
        <v>2.9970793915246152</v>
      </c>
      <c r="B967">
        <f t="shared" si="84"/>
        <v>-0.86466081018090191</v>
      </c>
      <c r="C967" s="30">
        <f t="shared" si="86"/>
        <v>0.86466081018090191</v>
      </c>
      <c r="D967" s="30">
        <f t="shared" si="87"/>
        <v>2.9970793915246152</v>
      </c>
      <c r="E967" s="30">
        <f t="shared" si="89"/>
        <v>149.82569999999879</v>
      </c>
      <c r="F967" s="30">
        <f t="shared" si="85"/>
        <v>47.921577654429058</v>
      </c>
    </row>
    <row r="968" spans="1:6">
      <c r="A968" s="30">
        <f t="shared" si="88"/>
        <v>3.0002209841782048</v>
      </c>
      <c r="B968">
        <f t="shared" si="84"/>
        <v>-0.86710492355617896</v>
      </c>
      <c r="C968" s="30">
        <f t="shared" si="86"/>
        <v>0.86710492355617896</v>
      </c>
      <c r="D968" s="30">
        <f t="shared" si="87"/>
        <v>3.0002209841782048</v>
      </c>
      <c r="E968" s="30">
        <f t="shared" si="89"/>
        <v>149.98274999999879</v>
      </c>
      <c r="F968" s="30">
        <f t="shared" si="85"/>
        <v>47.922400379487293</v>
      </c>
    </row>
    <row r="969" spans="1:6">
      <c r="A969" s="30">
        <f t="shared" si="88"/>
        <v>3.0033625768317944</v>
      </c>
      <c r="B969">
        <f t="shared" si="84"/>
        <v>-0.86956030011128771</v>
      </c>
      <c r="C969" s="30">
        <f t="shared" si="86"/>
        <v>0.86956030011128771</v>
      </c>
      <c r="D969" s="30">
        <f t="shared" si="87"/>
        <v>3.0033625768317944</v>
      </c>
      <c r="E969" s="30">
        <f t="shared" si="89"/>
        <v>150.13979999999879</v>
      </c>
      <c r="F969" s="30">
        <f t="shared" si="85"/>
        <v>47.923203715087844</v>
      </c>
    </row>
    <row r="970" spans="1:6">
      <c r="A970" s="30">
        <f t="shared" si="88"/>
        <v>3.006504169485384</v>
      </c>
      <c r="B970">
        <f t="shared" si="84"/>
        <v>-0.87202706668632102</v>
      </c>
      <c r="C970" s="30">
        <f t="shared" si="86"/>
        <v>0.87202706668632102</v>
      </c>
      <c r="D970" s="30">
        <f t="shared" si="87"/>
        <v>3.006504169485384</v>
      </c>
      <c r="E970" s="30">
        <f t="shared" si="89"/>
        <v>150.29684999999878</v>
      </c>
      <c r="F970" s="30">
        <f t="shared" si="85"/>
        <v>47.923987629516397</v>
      </c>
    </row>
    <row r="971" spans="1:6">
      <c r="A971" s="30">
        <f t="shared" si="88"/>
        <v>3.0096457621389736</v>
      </c>
      <c r="B971">
        <f t="shared" si="84"/>
        <v>-0.87450535175265154</v>
      </c>
      <c r="C971" s="30">
        <f t="shared" si="86"/>
        <v>0.87450535175265154</v>
      </c>
      <c r="D971" s="30">
        <f t="shared" si="87"/>
        <v>3.0096457621389736</v>
      </c>
      <c r="E971" s="30">
        <f t="shared" si="89"/>
        <v>150.45389999999878</v>
      </c>
      <c r="F971" s="30">
        <f t="shared" si="85"/>
        <v>47.924752091825354</v>
      </c>
    </row>
    <row r="972" spans="1:6">
      <c r="A972" s="30">
        <f t="shared" si="88"/>
        <v>3.0127873547925632</v>
      </c>
      <c r="B972">
        <f t="shared" si="84"/>
        <v>-0.87699528544112537</v>
      </c>
      <c r="C972" s="30">
        <f t="shared" si="86"/>
        <v>0.87699528544112537</v>
      </c>
      <c r="D972" s="30">
        <f t="shared" si="87"/>
        <v>3.0127873547925632</v>
      </c>
      <c r="E972" s="30">
        <f t="shared" si="89"/>
        <v>150.61094999999878</v>
      </c>
      <c r="F972" s="30">
        <f t="shared" si="85"/>
        <v>47.925497071835061</v>
      </c>
    </row>
    <row r="973" spans="1:6">
      <c r="A973" s="30">
        <f t="shared" si="88"/>
        <v>3.0159289474461528</v>
      </c>
      <c r="B973">
        <f t="shared" ref="B973:B1013" si="90">$H$3*(SIN($H$4+A973)-SIN($H$5+A973))/(SIN($H$4+A973)-SIN(A973))-$H$6</f>
        <v>-0.87949699957082728</v>
      </c>
      <c r="C973" s="30">
        <f t="shared" si="86"/>
        <v>0.87949699957082728</v>
      </c>
      <c r="D973" s="30">
        <f t="shared" si="87"/>
        <v>3.0159289474461528</v>
      </c>
      <c r="E973" s="30">
        <f t="shared" si="89"/>
        <v>150.76799999999878</v>
      </c>
      <c r="F973" s="30">
        <f t="shared" ref="F973:F1013" si="91">$M$5*SIN(2*PI()/$B$7*E973+$M$4)+$M$6</f>
        <v>47.926222540134965</v>
      </c>
    </row>
    <row r="974" spans="1:6">
      <c r="A974" s="30">
        <f t="shared" si="88"/>
        <v>3.0190705400997424</v>
      </c>
      <c r="B974">
        <f t="shared" si="90"/>
        <v>-0.88201062767843075</v>
      </c>
      <c r="C974" s="30">
        <f t="shared" ref="C974:C1013" si="92">ABS(B974)</f>
        <v>0.88201062767843075</v>
      </c>
      <c r="D974" s="30">
        <f t="shared" ref="D974:D1013" si="93">A974</f>
        <v>3.0190705400997424</v>
      </c>
      <c r="E974" s="30">
        <f t="shared" si="89"/>
        <v>150.92504999999878</v>
      </c>
      <c r="F974" s="30">
        <f t="shared" si="91"/>
        <v>47.926928468084832</v>
      </c>
    </row>
    <row r="975" spans="1:6">
      <c r="A975" s="30">
        <f t="shared" ref="A975:A1013" si="94">A974+PI()/1000</f>
        <v>3.022212132753332</v>
      </c>
      <c r="B975">
        <f t="shared" si="90"/>
        <v>-0.8845363050481464</v>
      </c>
      <c r="C975" s="30">
        <f t="shared" si="92"/>
        <v>0.8845363050481464</v>
      </c>
      <c r="D975" s="30">
        <f t="shared" si="93"/>
        <v>3.022212132753332</v>
      </c>
      <c r="E975" s="30">
        <f t="shared" ref="E975:E1013" si="95">E974+$B$7/1000</f>
        <v>151.08209999999877</v>
      </c>
      <c r="F975" s="30">
        <f t="shared" si="91"/>
        <v>47.92761482781583</v>
      </c>
    </row>
    <row r="976" spans="1:6">
      <c r="A976" s="30">
        <f t="shared" si="94"/>
        <v>3.0253537254069216</v>
      </c>
      <c r="B976">
        <f t="shared" si="90"/>
        <v>-0.8870741687422824</v>
      </c>
      <c r="C976" s="30">
        <f t="shared" si="92"/>
        <v>0.8870741687422824</v>
      </c>
      <c r="D976" s="30">
        <f t="shared" si="93"/>
        <v>3.0253537254069216</v>
      </c>
      <c r="E976" s="30">
        <f t="shared" si="95"/>
        <v>151.23914999999877</v>
      </c>
      <c r="F976" s="30">
        <f t="shared" si="91"/>
        <v>47.928281592231663</v>
      </c>
    </row>
    <row r="977" spans="1:6">
      <c r="A977" s="30">
        <f t="shared" si="94"/>
        <v>3.0284953180605112</v>
      </c>
      <c r="B977">
        <f t="shared" si="90"/>
        <v>-0.88962435763243441</v>
      </c>
      <c r="C977" s="30">
        <f t="shared" si="92"/>
        <v>0.88962435763243441</v>
      </c>
      <c r="D977" s="30">
        <f t="shared" si="93"/>
        <v>3.0284953180605112</v>
      </c>
      <c r="E977" s="30">
        <f t="shared" si="95"/>
        <v>151.39619999999877</v>
      </c>
      <c r="F977" s="30">
        <f t="shared" si="91"/>
        <v>47.928928735009599</v>
      </c>
    </row>
    <row r="978" spans="1:6">
      <c r="A978" s="30">
        <f t="shared" si="94"/>
        <v>3.0316369107141008</v>
      </c>
      <c r="B978">
        <f t="shared" si="90"/>
        <v>-0.89218701243131759</v>
      </c>
      <c r="C978" s="30">
        <f t="shared" si="92"/>
        <v>0.89218701243131759</v>
      </c>
      <c r="D978" s="30">
        <f t="shared" si="93"/>
        <v>3.0316369107141008</v>
      </c>
      <c r="E978" s="30">
        <f t="shared" si="95"/>
        <v>151.55324999999877</v>
      </c>
      <c r="F978" s="30">
        <f t="shared" si="91"/>
        <v>47.929556230601555</v>
      </c>
    </row>
    <row r="979" spans="1:6">
      <c r="A979" s="30">
        <f t="shared" si="94"/>
        <v>3.0347785033676904</v>
      </c>
      <c r="B979">
        <f t="shared" si="90"/>
        <v>-0.89476227572525724</v>
      </c>
      <c r="C979" s="30">
        <f t="shared" si="92"/>
        <v>0.89476227572525724</v>
      </c>
      <c r="D979" s="30">
        <f t="shared" si="93"/>
        <v>3.0347785033676904</v>
      </c>
      <c r="E979" s="30">
        <f t="shared" si="95"/>
        <v>151.71029999999877</v>
      </c>
      <c r="F979" s="30">
        <f t="shared" si="91"/>
        <v>47.930164054235078</v>
      </c>
    </row>
    <row r="980" spans="1:6">
      <c r="A980" s="30">
        <f t="shared" si="94"/>
        <v>3.03792009602128</v>
      </c>
      <c r="B980">
        <f t="shared" si="90"/>
        <v>-0.89735029200735505</v>
      </c>
      <c r="C980" s="30">
        <f t="shared" si="92"/>
        <v>0.89735029200735505</v>
      </c>
      <c r="D980" s="30">
        <f t="shared" si="93"/>
        <v>3.03792009602128</v>
      </c>
      <c r="E980" s="30">
        <f t="shared" si="95"/>
        <v>151.86734999999877</v>
      </c>
      <c r="F980" s="30">
        <f t="shared" si="91"/>
        <v>47.930752181914336</v>
      </c>
    </row>
    <row r="981" spans="1:6">
      <c r="A981" s="30">
        <f t="shared" si="94"/>
        <v>3.0410616886748696</v>
      </c>
      <c r="B981">
        <f t="shared" si="90"/>
        <v>-0.89995120771134651</v>
      </c>
      <c r="C981" s="30">
        <f t="shared" si="92"/>
        <v>0.89995120771134651</v>
      </c>
      <c r="D981" s="30">
        <f t="shared" si="93"/>
        <v>3.0410616886748696</v>
      </c>
      <c r="E981" s="30">
        <f t="shared" si="95"/>
        <v>152.02439999999876</v>
      </c>
      <c r="F981" s="30">
        <f t="shared" si="91"/>
        <v>47.931320590421052</v>
      </c>
    </row>
    <row r="982" spans="1:6">
      <c r="A982" s="30">
        <f t="shared" si="94"/>
        <v>3.0442032813284592</v>
      </c>
      <c r="B982">
        <f t="shared" si="90"/>
        <v>-0.9025651712461662</v>
      </c>
      <c r="C982" s="30">
        <f t="shared" si="92"/>
        <v>0.9025651712461662</v>
      </c>
      <c r="D982" s="30">
        <f t="shared" si="93"/>
        <v>3.0442032813284592</v>
      </c>
      <c r="E982" s="30">
        <f t="shared" si="95"/>
        <v>152.18144999999876</v>
      </c>
      <c r="F982" s="30">
        <f t="shared" si="91"/>
        <v>47.931869257315427</v>
      </c>
    </row>
    <row r="983" spans="1:6">
      <c r="A983" s="30">
        <f t="shared" si="94"/>
        <v>3.0473448739820488</v>
      </c>
      <c r="B983">
        <f t="shared" si="90"/>
        <v>-0.90519233303124047</v>
      </c>
      <c r="C983" s="30">
        <f t="shared" si="92"/>
        <v>0.90519233303124047</v>
      </c>
      <c r="D983" s="30">
        <f t="shared" si="93"/>
        <v>3.0473448739820488</v>
      </c>
      <c r="E983" s="30">
        <f t="shared" si="95"/>
        <v>152.33849999999876</v>
      </c>
      <c r="F983" s="30">
        <f t="shared" si="91"/>
        <v>47.932398160937041</v>
      </c>
    </row>
    <row r="984" spans="1:6">
      <c r="A984" s="30">
        <f t="shared" si="94"/>
        <v>3.0504864666356384</v>
      </c>
      <c r="B984">
        <f t="shared" si="90"/>
        <v>-0.90783284553252264</v>
      </c>
      <c r="C984" s="30">
        <f t="shared" si="92"/>
        <v>0.90783284553252264</v>
      </c>
      <c r="D984" s="30">
        <f t="shared" si="93"/>
        <v>3.0504864666356384</v>
      </c>
      <c r="E984" s="30">
        <f t="shared" si="95"/>
        <v>152.49554999999876</v>
      </c>
      <c r="F984" s="30">
        <f t="shared" si="91"/>
        <v>47.932907280405679</v>
      </c>
    </row>
    <row r="985" spans="1:6">
      <c r="A985" s="30">
        <f t="shared" si="94"/>
        <v>3.053628059289228</v>
      </c>
      <c r="B985">
        <f t="shared" si="90"/>
        <v>-0.91048686329929129</v>
      </c>
      <c r="C985" s="30">
        <f t="shared" si="92"/>
        <v>0.91048686329929129</v>
      </c>
      <c r="D985" s="30">
        <f t="shared" si="93"/>
        <v>3.053628059289228</v>
      </c>
      <c r="E985" s="30">
        <f t="shared" si="95"/>
        <v>152.65259999999876</v>
      </c>
      <c r="F985" s="30">
        <f t="shared" si="91"/>
        <v>47.933396595622177</v>
      </c>
    </row>
    <row r="986" spans="1:6">
      <c r="A986" s="30">
        <f t="shared" si="94"/>
        <v>3.0567696519428176</v>
      </c>
      <c r="B986">
        <f t="shared" si="90"/>
        <v>-0.91315454300173127</v>
      </c>
      <c r="C986" s="30">
        <f t="shared" si="92"/>
        <v>0.91315454300173127</v>
      </c>
      <c r="D986" s="30">
        <f t="shared" si="93"/>
        <v>3.0567696519428176</v>
      </c>
      <c r="E986" s="30">
        <f t="shared" si="95"/>
        <v>152.80964999999875</v>
      </c>
      <c r="F986" s="30">
        <f t="shared" si="91"/>
        <v>47.933866087269209</v>
      </c>
    </row>
    <row r="987" spans="1:6">
      <c r="A987" s="30">
        <f t="shared" si="94"/>
        <v>3.0599112445964072</v>
      </c>
      <c r="B987">
        <f t="shared" si="90"/>
        <v>-0.91583604346931358</v>
      </c>
      <c r="C987" s="30">
        <f t="shared" si="92"/>
        <v>0.91583604346931358</v>
      </c>
      <c r="D987" s="30">
        <f t="shared" si="93"/>
        <v>3.0599112445964072</v>
      </c>
      <c r="E987" s="30">
        <f t="shared" si="95"/>
        <v>152.96669999999875</v>
      </c>
      <c r="F987" s="30">
        <f t="shared" si="91"/>
        <v>47.934315736812053</v>
      </c>
    </row>
    <row r="988" spans="1:6">
      <c r="A988" s="30">
        <f t="shared" si="94"/>
        <v>3.0630528372499968</v>
      </c>
      <c r="B988">
        <f t="shared" si="90"/>
        <v>-0.91853152572999819</v>
      </c>
      <c r="C988" s="30">
        <f t="shared" si="92"/>
        <v>0.91853152572999819</v>
      </c>
      <c r="D988" s="30">
        <f t="shared" si="93"/>
        <v>3.0630528372499968</v>
      </c>
      <c r="E988" s="30">
        <f t="shared" si="95"/>
        <v>153.12374999999875</v>
      </c>
      <c r="F988" s="30">
        <f t="shared" si="91"/>
        <v>47.934745526499306</v>
      </c>
    </row>
    <row r="989" spans="1:6">
      <c r="A989" s="30">
        <f t="shared" si="94"/>
        <v>3.0661944299035864</v>
      </c>
      <c r="B989">
        <f t="shared" si="90"/>
        <v>-0.92124115305027909</v>
      </c>
      <c r="C989" s="30">
        <f t="shared" si="92"/>
        <v>0.92124115305027909</v>
      </c>
      <c r="D989" s="30">
        <f t="shared" si="93"/>
        <v>3.0661944299035864</v>
      </c>
      <c r="E989" s="30">
        <f t="shared" si="95"/>
        <v>153.28079999999875</v>
      </c>
      <c r="F989" s="30">
        <f t="shared" si="91"/>
        <v>47.935155439363605</v>
      </c>
    </row>
    <row r="990" spans="1:6">
      <c r="A990" s="30">
        <f t="shared" si="94"/>
        <v>3.069336022557176</v>
      </c>
      <c r="B990">
        <f t="shared" si="90"/>
        <v>-0.92396509097609103</v>
      </c>
      <c r="C990" s="30">
        <f t="shared" si="92"/>
        <v>0.92396509097609103</v>
      </c>
      <c r="D990" s="30">
        <f t="shared" si="93"/>
        <v>3.069336022557176</v>
      </c>
      <c r="E990" s="30">
        <f t="shared" si="95"/>
        <v>153.43784999999875</v>
      </c>
      <c r="F990" s="30">
        <f t="shared" si="91"/>
        <v>47.935545459222304</v>
      </c>
    </row>
    <row r="991" spans="1:6">
      <c r="A991" s="30">
        <f t="shared" si="94"/>
        <v>3.0724776152107656</v>
      </c>
      <c r="B991">
        <f t="shared" si="90"/>
        <v>-0.92670350737460394</v>
      </c>
      <c r="C991" s="30">
        <f t="shared" si="92"/>
        <v>0.92670350737460394</v>
      </c>
      <c r="D991" s="30">
        <f t="shared" si="93"/>
        <v>3.0724776152107656</v>
      </c>
      <c r="E991" s="30">
        <f t="shared" si="95"/>
        <v>153.59489999999874</v>
      </c>
      <c r="F991" s="30">
        <f t="shared" si="91"/>
        <v>47.935915570678084</v>
      </c>
    </row>
    <row r="992" spans="1:6">
      <c r="A992" s="30">
        <f t="shared" si="94"/>
        <v>3.0756192078643552</v>
      </c>
      <c r="B992">
        <f t="shared" si="90"/>
        <v>-0.92945657247692248</v>
      </c>
      <c r="C992" s="30">
        <f t="shared" si="92"/>
        <v>0.92945657247692248</v>
      </c>
      <c r="D992" s="30">
        <f t="shared" si="93"/>
        <v>3.0756192078643552</v>
      </c>
      <c r="E992" s="30">
        <f t="shared" si="95"/>
        <v>153.75194999999874</v>
      </c>
      <c r="F992" s="30">
        <f t="shared" si="91"/>
        <v>47.936265759119571</v>
      </c>
    </row>
    <row r="993" spans="1:6">
      <c r="A993" s="30">
        <f t="shared" si="94"/>
        <v>3.0787608005179448</v>
      </c>
      <c r="B993">
        <f t="shared" si="90"/>
        <v>-0.93222445892171946</v>
      </c>
      <c r="C993" s="30">
        <f t="shared" si="92"/>
        <v>0.93222445892171946</v>
      </c>
      <c r="D993" s="30">
        <f t="shared" si="93"/>
        <v>3.0787608005179448</v>
      </c>
      <c r="E993" s="30">
        <f t="shared" si="95"/>
        <v>153.90899999999874</v>
      </c>
      <c r="F993" s="30">
        <f t="shared" si="91"/>
        <v>47.936596010721928</v>
      </c>
    </row>
    <row r="994" spans="1:6">
      <c r="A994" s="30">
        <f t="shared" si="94"/>
        <v>3.0819023931715344</v>
      </c>
      <c r="B994">
        <f t="shared" si="90"/>
        <v>-0.9350073417998217</v>
      </c>
      <c r="C994" s="30">
        <f t="shared" si="92"/>
        <v>0.9350073417998217</v>
      </c>
      <c r="D994" s="30">
        <f t="shared" si="93"/>
        <v>3.0819023931715344</v>
      </c>
      <c r="E994" s="30">
        <f t="shared" si="95"/>
        <v>154.06604999999874</v>
      </c>
      <c r="F994" s="30">
        <f t="shared" si="91"/>
        <v>47.936906312447391</v>
      </c>
    </row>
    <row r="995" spans="1:6">
      <c r="A995" s="30">
        <f t="shared" si="94"/>
        <v>3.085043985825124</v>
      </c>
      <c r="B995">
        <f t="shared" si="90"/>
        <v>-0.93780539869977875</v>
      </c>
      <c r="C995" s="30">
        <f t="shared" si="92"/>
        <v>0.93780539869977875</v>
      </c>
      <c r="D995" s="30">
        <f t="shared" si="93"/>
        <v>3.085043985825124</v>
      </c>
      <c r="E995" s="30">
        <f t="shared" si="95"/>
        <v>154.22309999999874</v>
      </c>
      <c r="F995" s="30">
        <f t="shared" si="91"/>
        <v>47.937196652045778</v>
      </c>
    </row>
    <row r="996" spans="1:6">
      <c r="A996" s="30">
        <f t="shared" si="94"/>
        <v>3.0881855784787136</v>
      </c>
      <c r="B996">
        <f t="shared" si="90"/>
        <v>-0.94061880975443202</v>
      </c>
      <c r="C996" s="30">
        <f t="shared" si="92"/>
        <v>0.94061880975443202</v>
      </c>
      <c r="D996" s="30">
        <f t="shared" si="93"/>
        <v>3.0881855784787136</v>
      </c>
      <c r="E996" s="30">
        <f t="shared" si="95"/>
        <v>154.38014999999874</v>
      </c>
      <c r="F996" s="30">
        <f t="shared" si="91"/>
        <v>47.937467018054974</v>
      </c>
    </row>
    <row r="997" spans="1:6">
      <c r="A997" s="30">
        <f t="shared" si="94"/>
        <v>3.0913271711323032</v>
      </c>
      <c r="B997">
        <f t="shared" si="90"/>
        <v>-0.94344775768852074</v>
      </c>
      <c r="C997" s="30">
        <f t="shared" si="92"/>
        <v>0.94344775768852074</v>
      </c>
      <c r="D997" s="30">
        <f t="shared" si="93"/>
        <v>3.0913271711323032</v>
      </c>
      <c r="E997" s="30">
        <f t="shared" si="95"/>
        <v>154.53719999999873</v>
      </c>
      <c r="F997" s="30">
        <f t="shared" si="91"/>
        <v>47.937717399801393</v>
      </c>
    </row>
    <row r="998" spans="1:6">
      <c r="A998" s="30">
        <f t="shared" si="94"/>
        <v>3.0944687637858928</v>
      </c>
      <c r="B998">
        <f t="shared" si="90"/>
        <v>-0.94629242786734036</v>
      </c>
      <c r="C998" s="30">
        <f t="shared" si="92"/>
        <v>0.94629242786734036</v>
      </c>
      <c r="D998" s="30">
        <f t="shared" si="93"/>
        <v>3.0944687637858928</v>
      </c>
      <c r="E998" s="30">
        <f t="shared" si="95"/>
        <v>154.69424999999873</v>
      </c>
      <c r="F998" s="30">
        <f t="shared" si="91"/>
        <v>47.937947787400404</v>
      </c>
    </row>
    <row r="999" spans="1:6">
      <c r="A999" s="30">
        <f t="shared" si="94"/>
        <v>3.0976103564394823</v>
      </c>
      <c r="B999">
        <f t="shared" si="90"/>
        <v>-0.94915300834649141</v>
      </c>
      <c r="C999" s="30">
        <f t="shared" si="92"/>
        <v>0.94915300834649141</v>
      </c>
      <c r="D999" s="30">
        <f t="shared" si="93"/>
        <v>3.0976103564394823</v>
      </c>
      <c r="E999" s="30">
        <f t="shared" si="95"/>
        <v>154.85129999999873</v>
      </c>
      <c r="F999" s="30">
        <f t="shared" si="91"/>
        <v>47.938158171756683</v>
      </c>
    </row>
    <row r="1000" spans="1:6">
      <c r="A1000" s="30">
        <f t="shared" si="94"/>
        <v>3.1007519490930719</v>
      </c>
      <c r="B1000">
        <f t="shared" si="90"/>
        <v>-0.95202968992273829</v>
      </c>
      <c r="C1000" s="30">
        <f t="shared" si="92"/>
        <v>0.95202968992273829</v>
      </c>
      <c r="D1000" s="30">
        <f t="shared" si="93"/>
        <v>3.1007519490930719</v>
      </c>
      <c r="E1000" s="30">
        <f t="shared" si="95"/>
        <v>155.00834999999873</v>
      </c>
      <c r="F1000" s="30">
        <f t="shared" si="91"/>
        <v>47.938348544564619</v>
      </c>
    </row>
    <row r="1001" spans="1:6">
      <c r="A1001" s="30">
        <f t="shared" si="94"/>
        <v>3.1038935417466615</v>
      </c>
      <c r="B1001">
        <f t="shared" si="90"/>
        <v>-0.95492266618601529</v>
      </c>
      <c r="C1001" s="30">
        <f t="shared" si="92"/>
        <v>0.95492266618601529</v>
      </c>
      <c r="D1001" s="30">
        <f t="shared" si="93"/>
        <v>3.1038935417466615</v>
      </c>
      <c r="E1001" s="30">
        <f t="shared" si="95"/>
        <v>155.16539999999873</v>
      </c>
      <c r="F1001" s="30">
        <f t="shared" si="91"/>
        <v>47.938518898308629</v>
      </c>
    </row>
    <row r="1002" spans="1:6">
      <c r="A1002" s="30">
        <f t="shared" si="94"/>
        <v>3.1070351344002511</v>
      </c>
      <c r="B1002">
        <f t="shared" si="90"/>
        <v>-0.95783213357260388</v>
      </c>
      <c r="C1002" s="30">
        <f t="shared" si="92"/>
        <v>0.95783213357260388</v>
      </c>
      <c r="D1002" s="30">
        <f t="shared" si="93"/>
        <v>3.1070351344002511</v>
      </c>
      <c r="E1002" s="30">
        <f t="shared" si="95"/>
        <v>155.32244999999872</v>
      </c>
      <c r="F1002" s="30">
        <f t="shared" si="91"/>
        <v>47.938669226263436</v>
      </c>
    </row>
    <row r="1003" spans="1:6">
      <c r="A1003" s="30">
        <f t="shared" si="94"/>
        <v>3.1101767270538407</v>
      </c>
      <c r="B1003">
        <f t="shared" si="90"/>
        <v>-0.96075829141951619</v>
      </c>
      <c r="C1003" s="30">
        <f t="shared" si="92"/>
        <v>0.96075829141951619</v>
      </c>
      <c r="D1003" s="30">
        <f t="shared" si="93"/>
        <v>3.1101767270538407</v>
      </c>
      <c r="E1003" s="30">
        <f t="shared" si="95"/>
        <v>155.47949999999872</v>
      </c>
      <c r="F1003" s="30">
        <f t="shared" si="91"/>
        <v>47.938799522494342</v>
      </c>
    </row>
    <row r="1004" spans="1:6">
      <c r="A1004" s="30">
        <f t="shared" si="94"/>
        <v>3.1133183197074303</v>
      </c>
      <c r="B1004">
        <f t="shared" si="90"/>
        <v>-0.9637013420201157</v>
      </c>
      <c r="C1004" s="30">
        <f t="shared" si="92"/>
        <v>0.9637013420201157</v>
      </c>
      <c r="D1004" s="30">
        <f t="shared" si="93"/>
        <v>3.1133183197074303</v>
      </c>
      <c r="E1004" s="30">
        <f t="shared" si="95"/>
        <v>155.63654999999872</v>
      </c>
      <c r="F1004" s="30">
        <f t="shared" si="91"/>
        <v>47.938909781857475</v>
      </c>
    </row>
    <row r="1005" spans="1:6">
      <c r="A1005" s="30">
        <f t="shared" si="94"/>
        <v>3.1164599123610199</v>
      </c>
      <c r="B1005">
        <f t="shared" si="90"/>
        <v>-0.96666149068100693</v>
      </c>
      <c r="C1005" s="30">
        <f t="shared" si="92"/>
        <v>0.96666149068100693</v>
      </c>
      <c r="D1005" s="30">
        <f t="shared" si="93"/>
        <v>3.1164599123610199</v>
      </c>
      <c r="E1005" s="30">
        <f t="shared" si="95"/>
        <v>155.79359999999872</v>
      </c>
      <c r="F1005" s="30">
        <f t="shared" si="91"/>
        <v>47.939</v>
      </c>
    </row>
    <row r="1006" spans="1:6">
      <c r="A1006" s="30">
        <f t="shared" si="94"/>
        <v>3.1196015050146095</v>
      </c>
      <c r="B1006">
        <f t="shared" si="90"/>
        <v>-0.96963894578023102</v>
      </c>
      <c r="C1006" s="30">
        <f t="shared" si="92"/>
        <v>0.96963894578023102</v>
      </c>
      <c r="D1006" s="30">
        <f t="shared" si="93"/>
        <v>3.1196015050146095</v>
      </c>
      <c r="E1006" s="30">
        <f t="shared" si="95"/>
        <v>155.95064999999872</v>
      </c>
      <c r="F1006" s="30">
        <f t="shared" si="91"/>
        <v>47.939070173360243</v>
      </c>
    </row>
    <row r="1007" spans="1:6">
      <c r="A1007" s="30">
        <f t="shared" si="94"/>
        <v>3.1227430976681991</v>
      </c>
      <c r="B1007">
        <f t="shared" si="90"/>
        <v>-0.97263391882679939</v>
      </c>
      <c r="C1007" s="30">
        <f t="shared" si="92"/>
        <v>0.97263391882679939</v>
      </c>
      <c r="D1007" s="30">
        <f t="shared" si="93"/>
        <v>3.1227430976681991</v>
      </c>
      <c r="E1007" s="30">
        <f t="shared" si="95"/>
        <v>156.10769999999872</v>
      </c>
      <c r="F1007" s="30">
        <f t="shared" si="91"/>
        <v>47.939120299167882</v>
      </c>
    </row>
    <row r="1008" spans="1:6">
      <c r="A1008" s="30">
        <f t="shared" si="94"/>
        <v>3.1258846903217887</v>
      </c>
      <c r="B1008">
        <f t="shared" si="90"/>
        <v>-0.97564662452160422</v>
      </c>
      <c r="C1008" s="30">
        <f t="shared" si="92"/>
        <v>0.97564662452160422</v>
      </c>
      <c r="D1008" s="30">
        <f t="shared" si="93"/>
        <v>3.1258846903217887</v>
      </c>
      <c r="E1008" s="30">
        <f t="shared" si="95"/>
        <v>156.26474999999871</v>
      </c>
      <c r="F1008" s="30">
        <f t="shared" si="91"/>
        <v>47.939150375444036</v>
      </c>
    </row>
    <row r="1009" spans="1:6">
      <c r="A1009" s="30">
        <f t="shared" si="94"/>
        <v>3.1290262829753783</v>
      </c>
      <c r="B1009">
        <f t="shared" si="90"/>
        <v>-0.97867728081974159</v>
      </c>
      <c r="C1009" s="30">
        <f t="shared" si="92"/>
        <v>0.97867728081974159</v>
      </c>
      <c r="D1009" s="30">
        <f t="shared" si="93"/>
        <v>3.1290262829753783</v>
      </c>
      <c r="E1009" s="30">
        <f t="shared" si="95"/>
        <v>156.42179999999871</v>
      </c>
      <c r="F1009" s="30">
        <f t="shared" si="91"/>
        <v>47.939160401001359</v>
      </c>
    </row>
    <row r="1010" spans="1:6">
      <c r="A1010" s="30">
        <f t="shared" si="94"/>
        <v>3.1321678756289679</v>
      </c>
      <c r="B1010">
        <f t="shared" si="90"/>
        <v>-0.9817261089942857</v>
      </c>
      <c r="C1010" s="30">
        <f t="shared" si="92"/>
        <v>0.9817261089942857</v>
      </c>
      <c r="D1010" s="30">
        <f t="shared" si="93"/>
        <v>3.1321678756289679</v>
      </c>
      <c r="E1010" s="30">
        <f t="shared" si="95"/>
        <v>156.57884999999871</v>
      </c>
      <c r="F1010" s="30">
        <f t="shared" si="91"/>
        <v>47.939150375444044</v>
      </c>
    </row>
    <row r="1011" spans="1:6">
      <c r="A1011" s="30">
        <f t="shared" si="94"/>
        <v>3.1353094682825575</v>
      </c>
      <c r="B1011">
        <f t="shared" si="90"/>
        <v>-0.98479333370155531</v>
      </c>
      <c r="C1011" s="30">
        <f t="shared" si="92"/>
        <v>0.98479333370155531</v>
      </c>
      <c r="D1011" s="30">
        <f t="shared" si="93"/>
        <v>3.1353094682825575</v>
      </c>
      <c r="E1011" s="30">
        <f t="shared" si="95"/>
        <v>156.73589999999871</v>
      </c>
      <c r="F1011" s="30">
        <f t="shared" si="91"/>
        <v>47.939120299167882</v>
      </c>
    </row>
    <row r="1012" spans="1:6">
      <c r="A1012" s="30">
        <f t="shared" si="94"/>
        <v>3.1384510609361471</v>
      </c>
      <c r="B1012">
        <f t="shared" si="90"/>
        <v>-0.98787918304791245</v>
      </c>
      <c r="C1012" s="30">
        <f t="shared" si="92"/>
        <v>0.98787918304791245</v>
      </c>
      <c r="D1012" s="30">
        <f t="shared" si="93"/>
        <v>3.1384510609361471</v>
      </c>
      <c r="E1012" s="30">
        <f t="shared" si="95"/>
        <v>156.89294999999871</v>
      </c>
      <c r="F1012" s="30">
        <f t="shared" si="91"/>
        <v>47.939070173360243</v>
      </c>
    </row>
    <row r="1013" spans="1:6">
      <c r="A1013" s="30">
        <f t="shared" si="94"/>
        <v>3.1415926535897367</v>
      </c>
      <c r="B1013">
        <f t="shared" si="90"/>
        <v>-0.99098388865813525</v>
      </c>
      <c r="C1013" s="30">
        <f t="shared" si="92"/>
        <v>0.99098388865813525</v>
      </c>
      <c r="D1013" s="30">
        <f t="shared" si="93"/>
        <v>3.1415926535897367</v>
      </c>
      <c r="E1013" s="30">
        <f t="shared" si="95"/>
        <v>157.0499999999987</v>
      </c>
      <c r="F1013" s="30">
        <f t="shared" si="91"/>
        <v>47.939</v>
      </c>
    </row>
    <row r="1014" spans="1:6">
      <c r="A1014" s="30"/>
      <c r="C1014" s="30">
        <f>MIN(C13:C1013)</f>
        <v>5.0341798080122402E-4</v>
      </c>
      <c r="D1014" s="30">
        <f>VLOOKUP(C1014,C13:D1013,2,FALSE)</f>
        <v>1.5959290680236262</v>
      </c>
    </row>
    <row r="1015" spans="1:6">
      <c r="A1015" s="30"/>
    </row>
    <row r="1016" spans="1:6">
      <c r="A1016" s="31"/>
    </row>
    <row r="1017" spans="1:6">
      <c r="A1017" s="31"/>
    </row>
    <row r="1018" spans="1:6">
      <c r="A1018" s="31"/>
    </row>
    <row r="1019" spans="1:6">
      <c r="A1019" s="31"/>
    </row>
  </sheetData>
  <phoneticPr fontId="10" type="noConversion"/>
  <conditionalFormatting sqref="B13:C1013 C1014">
    <cfRule type="cellIs" dxfId="0" priority="1" stopIfTrue="1" operator="between">
      <formula>-0.02</formula>
      <formula>0.02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8"/>
  <dimension ref="A3:F68"/>
  <sheetViews>
    <sheetView workbookViewId="0">
      <selection activeCell="E25" sqref="E25"/>
    </sheetView>
  </sheetViews>
  <sheetFormatPr defaultRowHeight="12.75"/>
  <cols>
    <col min="1" max="1" width="14.140625" customWidth="1"/>
  </cols>
  <sheetData>
    <row r="3" spans="1:6">
      <c r="A3" s="43" t="s">
        <v>333</v>
      </c>
      <c r="B3" s="12" t="s">
        <v>180</v>
      </c>
      <c r="C3" s="12" t="s">
        <v>51</v>
      </c>
      <c r="D3" s="12" t="s">
        <v>72</v>
      </c>
      <c r="E3" s="12" t="s">
        <v>196</v>
      </c>
      <c r="F3" s="12" t="s">
        <v>332</v>
      </c>
    </row>
    <row r="4" spans="1:6">
      <c r="A4" s="43"/>
      <c r="B4" s="39">
        <v>120</v>
      </c>
      <c r="C4" s="39">
        <v>200</v>
      </c>
      <c r="D4" s="40">
        <f>IF(3.6*SQRT(2.5*B4)&lt;90,3.6*SQRT(2.5*B4),90)</f>
        <v>62.353829072479591</v>
      </c>
      <c r="E4" s="40">
        <f>C4/D4*3.6</f>
        <v>11.547005383792515</v>
      </c>
      <c r="F4" s="40">
        <f>D4*C4</f>
        <v>12470.765814495919</v>
      </c>
    </row>
    <row r="5" spans="1:6">
      <c r="A5" s="43"/>
      <c r="B5" s="39"/>
      <c r="C5" s="39"/>
      <c r="D5" s="40"/>
      <c r="E5" s="40"/>
      <c r="F5" s="40"/>
    </row>
    <row r="6" spans="1:6">
      <c r="A6" s="11"/>
      <c r="B6" s="39"/>
      <c r="C6" s="39"/>
      <c r="D6" s="40"/>
      <c r="E6" s="40"/>
      <c r="F6" s="40">
        <f>D6*C6</f>
        <v>0</v>
      </c>
    </row>
    <row r="7" spans="1:6">
      <c r="A7" s="11"/>
      <c r="B7" s="11"/>
      <c r="C7" s="41">
        <f>SUM(C4:C6)</f>
        <v>200</v>
      </c>
      <c r="D7" s="43"/>
      <c r="E7" s="42">
        <f>SUM(E4:E6)</f>
        <v>11.547005383792515</v>
      </c>
      <c r="F7" s="42">
        <f>(F4+F6)/C7</f>
        <v>62.353829072479591</v>
      </c>
    </row>
    <row r="8" spans="1:6">
      <c r="A8" s="44"/>
      <c r="B8" s="44"/>
      <c r="C8" s="45"/>
      <c r="D8" s="45"/>
      <c r="E8" s="46"/>
      <c r="F8" s="46"/>
    </row>
    <row r="9" spans="1:6">
      <c r="A9" s="43" t="s">
        <v>334</v>
      </c>
      <c r="B9" s="12" t="s">
        <v>180</v>
      </c>
      <c r="C9" s="12" t="s">
        <v>51</v>
      </c>
      <c r="D9" s="12" t="s">
        <v>72</v>
      </c>
      <c r="E9" s="12" t="s">
        <v>196</v>
      </c>
      <c r="F9" s="12" t="s">
        <v>332</v>
      </c>
    </row>
    <row r="10" spans="1:6">
      <c r="A10" s="43"/>
      <c r="B10" s="39">
        <v>60</v>
      </c>
      <c r="C10" s="39">
        <v>100</v>
      </c>
      <c r="D10" s="40">
        <f>IF(3.6*SQRT(2.5*B10)&lt;90,3.6*SQRT(2.5*B10),90)</f>
        <v>44.090815370097204</v>
      </c>
      <c r="E10" s="40">
        <f>C10/D10*3.6</f>
        <v>8.1649658092772608</v>
      </c>
      <c r="F10" s="40">
        <f>D10*C10</f>
        <v>4409.0815370097207</v>
      </c>
    </row>
    <row r="11" spans="1:6">
      <c r="A11" s="43"/>
      <c r="B11" s="39"/>
      <c r="C11" s="39"/>
      <c r="D11" s="40"/>
      <c r="E11" s="40"/>
      <c r="F11" s="40"/>
    </row>
    <row r="12" spans="1:6">
      <c r="A12" s="11"/>
      <c r="B12" s="39">
        <v>201</v>
      </c>
      <c r="C12" s="39">
        <v>100</v>
      </c>
      <c r="D12" s="40">
        <f>IF(3.6*SQRT(2.5*B12)&lt;90,3.6*SQRT(2.5*B12),90)</f>
        <v>80.699442377255622</v>
      </c>
      <c r="E12" s="40">
        <f>C12/D12*3.6</f>
        <v>4.4609973674547048</v>
      </c>
      <c r="F12" s="40">
        <f>D12*C12</f>
        <v>8069.9442377255618</v>
      </c>
    </row>
    <row r="13" spans="1:6">
      <c r="A13" s="11"/>
      <c r="B13" s="11"/>
      <c r="C13" s="41">
        <f>SUM(C10:C12)</f>
        <v>200</v>
      </c>
      <c r="D13" s="43"/>
      <c r="E13" s="42">
        <f>SUM(E10:E12)</f>
        <v>12.625963176731965</v>
      </c>
      <c r="F13" s="42">
        <f>(F10+F12)/C13</f>
        <v>62.395128873676413</v>
      </c>
    </row>
    <row r="15" spans="1:6">
      <c r="A15" t="s">
        <v>290</v>
      </c>
      <c r="C15">
        <v>0.2</v>
      </c>
      <c r="D15">
        <v>60</v>
      </c>
    </row>
    <row r="16" spans="1:6">
      <c r="A16" t="s">
        <v>264</v>
      </c>
      <c r="C16">
        <v>180</v>
      </c>
    </row>
    <row r="17" spans="1:4">
      <c r="A17" t="s">
        <v>180</v>
      </c>
      <c r="B17" t="s">
        <v>72</v>
      </c>
      <c r="C17" t="s">
        <v>51</v>
      </c>
      <c r="D17" t="s">
        <v>196</v>
      </c>
    </row>
    <row r="18" spans="1:4">
      <c r="A18">
        <v>0</v>
      </c>
      <c r="B18">
        <f>3.6*SQRT(2.5*A18)</f>
        <v>0</v>
      </c>
      <c r="C18">
        <f>A18*$C$16/180*PI()*$C$15</f>
        <v>0</v>
      </c>
      <c r="D18" t="e">
        <f>C18/B18*$D$15</f>
        <v>#DIV/0!</v>
      </c>
    </row>
    <row r="19" spans="1:4">
      <c r="A19">
        <v>5</v>
      </c>
      <c r="B19">
        <f t="shared" ref="B19:B68" si="0">3.6*SQRT(2.5*A19)</f>
        <v>12.727922061357857</v>
      </c>
      <c r="C19">
        <f t="shared" ref="C19:C68" si="1">A19*$C$16/180*PI()*$C$15</f>
        <v>3.1415926535897931</v>
      </c>
      <c r="D19">
        <f t="shared" ref="D19:D68" si="2">C19/B19*$D$15</f>
        <v>14.809609793861219</v>
      </c>
    </row>
    <row r="20" spans="1:4">
      <c r="A20">
        <v>10</v>
      </c>
      <c r="B20">
        <f t="shared" si="0"/>
        <v>18</v>
      </c>
      <c r="C20">
        <f t="shared" si="1"/>
        <v>6.2831853071795862</v>
      </c>
      <c r="D20">
        <f t="shared" si="2"/>
        <v>20.943951023931955</v>
      </c>
    </row>
    <row r="21" spans="1:4">
      <c r="A21">
        <v>15</v>
      </c>
      <c r="B21">
        <f t="shared" si="0"/>
        <v>22.045407685048602</v>
      </c>
      <c r="C21">
        <f t="shared" si="1"/>
        <v>9.4247779607693793</v>
      </c>
      <c r="D21">
        <f t="shared" si="2"/>
        <v>25.650996603237282</v>
      </c>
    </row>
    <row r="22" spans="1:4">
      <c r="A22">
        <v>20</v>
      </c>
      <c r="B22">
        <f t="shared" si="0"/>
        <v>25.455844122715714</v>
      </c>
      <c r="C22">
        <f t="shared" si="1"/>
        <v>12.566370614359172</v>
      </c>
      <c r="D22">
        <f t="shared" si="2"/>
        <v>29.619219587722437</v>
      </c>
    </row>
    <row r="23" spans="1:4">
      <c r="A23">
        <v>25</v>
      </c>
      <c r="B23">
        <f t="shared" si="0"/>
        <v>28.460498941515414</v>
      </c>
      <c r="C23">
        <f t="shared" si="1"/>
        <v>15.707963267948967</v>
      </c>
      <c r="D23">
        <f t="shared" si="2"/>
        <v>33.11529421932034</v>
      </c>
    </row>
    <row r="24" spans="1:4">
      <c r="A24">
        <v>30</v>
      </c>
      <c r="B24">
        <f t="shared" si="0"/>
        <v>31.176914536239796</v>
      </c>
      <c r="C24">
        <f t="shared" si="1"/>
        <v>18.849555921538759</v>
      </c>
      <c r="D24">
        <f t="shared" si="2"/>
        <v>36.275987284684348</v>
      </c>
    </row>
    <row r="25" spans="1:4">
      <c r="A25">
        <v>35</v>
      </c>
      <c r="B25">
        <f t="shared" si="0"/>
        <v>33.674916480965479</v>
      </c>
      <c r="C25">
        <f t="shared" si="1"/>
        <v>21.991148575128552</v>
      </c>
      <c r="D25">
        <f t="shared" si="2"/>
        <v>39.182544528463318</v>
      </c>
    </row>
    <row r="26" spans="1:4">
      <c r="A26">
        <v>40</v>
      </c>
      <c r="B26">
        <f t="shared" si="0"/>
        <v>36</v>
      </c>
      <c r="C26">
        <f t="shared" si="1"/>
        <v>25.132741228718345</v>
      </c>
      <c r="D26">
        <f t="shared" si="2"/>
        <v>41.887902047863911</v>
      </c>
    </row>
    <row r="27" spans="1:4">
      <c r="A27">
        <v>45</v>
      </c>
      <c r="B27">
        <f t="shared" si="0"/>
        <v>38.183766184073569</v>
      </c>
      <c r="C27">
        <f t="shared" si="1"/>
        <v>28.274333882308142</v>
      </c>
      <c r="D27">
        <f t="shared" si="2"/>
        <v>44.428829381583661</v>
      </c>
    </row>
    <row r="28" spans="1:4">
      <c r="A28">
        <v>50</v>
      </c>
      <c r="B28">
        <f t="shared" si="0"/>
        <v>40.249223594996216</v>
      </c>
      <c r="C28">
        <f t="shared" si="1"/>
        <v>31.415926535897935</v>
      </c>
      <c r="D28">
        <f t="shared" si="2"/>
        <v>46.832098206938177</v>
      </c>
    </row>
    <row r="29" spans="1:4">
      <c r="A29">
        <v>55</v>
      </c>
      <c r="B29">
        <f t="shared" si="0"/>
        <v>42.213741838410868</v>
      </c>
      <c r="C29">
        <f t="shared" si="1"/>
        <v>34.557519189487728</v>
      </c>
      <c r="D29">
        <f t="shared" si="2"/>
        <v>49.117918977810248</v>
      </c>
    </row>
    <row r="30" spans="1:4">
      <c r="A30">
        <v>60</v>
      </c>
      <c r="B30">
        <f t="shared" si="0"/>
        <v>44.090815370097204</v>
      </c>
      <c r="C30">
        <f t="shared" si="1"/>
        <v>37.699111843077517</v>
      </c>
      <c r="D30">
        <f t="shared" si="2"/>
        <v>51.301993206474563</v>
      </c>
    </row>
    <row r="31" spans="1:4">
      <c r="A31">
        <v>65</v>
      </c>
      <c r="B31">
        <f t="shared" si="0"/>
        <v>45.891175622335062</v>
      </c>
      <c r="C31">
        <f t="shared" si="1"/>
        <v>40.840704496667314</v>
      </c>
      <c r="D31">
        <f t="shared" si="2"/>
        <v>53.396807481380314</v>
      </c>
    </row>
    <row r="32" spans="1:4">
      <c r="A32">
        <v>70</v>
      </c>
      <c r="B32">
        <f t="shared" si="0"/>
        <v>47.623523599162631</v>
      </c>
      <c r="C32">
        <f t="shared" si="1"/>
        <v>43.982297150257104</v>
      </c>
      <c r="D32">
        <f t="shared" si="2"/>
        <v>55.412485880440542</v>
      </c>
    </row>
    <row r="33" spans="1:4">
      <c r="A33">
        <v>75</v>
      </c>
      <c r="B33">
        <f t="shared" si="0"/>
        <v>49.295030175464952</v>
      </c>
      <c r="C33">
        <f t="shared" si="1"/>
        <v>47.1238898038469</v>
      </c>
      <c r="D33">
        <f t="shared" si="2"/>
        <v>57.357372095454764</v>
      </c>
    </row>
    <row r="34" spans="1:4">
      <c r="A34">
        <v>80</v>
      </c>
      <c r="B34">
        <f t="shared" si="0"/>
        <v>50.911688245431428</v>
      </c>
      <c r="C34">
        <f t="shared" si="1"/>
        <v>50.26548245743669</v>
      </c>
      <c r="D34">
        <f t="shared" si="2"/>
        <v>59.238439175444874</v>
      </c>
    </row>
    <row r="35" spans="1:4">
      <c r="A35">
        <v>85</v>
      </c>
      <c r="B35">
        <f t="shared" si="0"/>
        <v>52.478567053607705</v>
      </c>
      <c r="C35">
        <f t="shared" si="1"/>
        <v>53.407075111026487</v>
      </c>
      <c r="D35">
        <f t="shared" si="2"/>
        <v>61.061585454271608</v>
      </c>
    </row>
    <row r="36" spans="1:4">
      <c r="A36">
        <v>90</v>
      </c>
      <c r="B36">
        <f t="shared" si="0"/>
        <v>54</v>
      </c>
      <c r="C36">
        <f t="shared" si="1"/>
        <v>56.548667764616283</v>
      </c>
      <c r="D36">
        <f t="shared" si="2"/>
        <v>62.831853071795869</v>
      </c>
    </row>
    <row r="37" spans="1:4">
      <c r="A37">
        <v>95</v>
      </c>
      <c r="B37">
        <f t="shared" si="0"/>
        <v>55.47972602672079</v>
      </c>
      <c r="C37">
        <f t="shared" si="1"/>
        <v>59.690260418206073</v>
      </c>
      <c r="D37">
        <f t="shared" si="2"/>
        <v>64.553592484711288</v>
      </c>
    </row>
    <row r="38" spans="1:4">
      <c r="A38">
        <v>100</v>
      </c>
      <c r="B38">
        <f t="shared" si="0"/>
        <v>56.920997883030829</v>
      </c>
      <c r="C38">
        <f t="shared" si="1"/>
        <v>62.831853071795869</v>
      </c>
      <c r="D38">
        <f t="shared" si="2"/>
        <v>66.23058843864068</v>
      </c>
    </row>
    <row r="39" spans="1:4">
      <c r="A39">
        <v>105</v>
      </c>
      <c r="B39">
        <f t="shared" si="0"/>
        <v>58.32666628567074</v>
      </c>
      <c r="C39">
        <f t="shared" si="1"/>
        <v>65.973445725385659</v>
      </c>
      <c r="D39">
        <f t="shared" si="2"/>
        <v>67.866157893128403</v>
      </c>
    </row>
    <row r="40" spans="1:4">
      <c r="A40">
        <v>110</v>
      </c>
      <c r="B40">
        <f t="shared" si="0"/>
        <v>59.699246226397207</v>
      </c>
      <c r="C40">
        <f t="shared" si="1"/>
        <v>69.115038378975456</v>
      </c>
      <c r="D40">
        <f t="shared" si="2"/>
        <v>69.463227173962068</v>
      </c>
    </row>
    <row r="41" spans="1:4">
      <c r="A41">
        <v>115</v>
      </c>
      <c r="B41">
        <f t="shared" si="0"/>
        <v>61.040969848127418</v>
      </c>
      <c r="C41">
        <f t="shared" si="1"/>
        <v>72.256631032565252</v>
      </c>
      <c r="D41">
        <f t="shared" si="2"/>
        <v>71.024393497360421</v>
      </c>
    </row>
    <row r="42" spans="1:4">
      <c r="A42">
        <v>120</v>
      </c>
      <c r="B42">
        <f t="shared" si="0"/>
        <v>62.353829072479591</v>
      </c>
      <c r="C42">
        <f t="shared" si="1"/>
        <v>75.398223686155035</v>
      </c>
      <c r="D42">
        <f t="shared" si="2"/>
        <v>72.551974569368696</v>
      </c>
    </row>
    <row r="43" spans="1:4">
      <c r="A43">
        <v>125</v>
      </c>
      <c r="B43">
        <f t="shared" si="0"/>
        <v>63.63961030678928</v>
      </c>
      <c r="C43">
        <f t="shared" si="1"/>
        <v>78.539816339744831</v>
      </c>
      <c r="D43">
        <f t="shared" si="2"/>
        <v>74.048048969306109</v>
      </c>
    </row>
    <row r="44" spans="1:4">
      <c r="A44">
        <v>130</v>
      </c>
      <c r="B44">
        <f t="shared" si="0"/>
        <v>64.899922958351809</v>
      </c>
      <c r="C44">
        <f t="shared" si="1"/>
        <v>81.681408993334628</v>
      </c>
      <c r="D44">
        <f t="shared" si="2"/>
        <v>75.514489327593182</v>
      </c>
    </row>
    <row r="45" spans="1:4">
      <c r="A45">
        <v>135</v>
      </c>
      <c r="B45">
        <f t="shared" si="0"/>
        <v>66.13622305514582</v>
      </c>
      <c r="C45">
        <f t="shared" si="1"/>
        <v>84.823001646924411</v>
      </c>
      <c r="D45">
        <f t="shared" si="2"/>
        <v>76.952989809711838</v>
      </c>
    </row>
    <row r="46" spans="1:4">
      <c r="A46">
        <v>140</v>
      </c>
      <c r="B46">
        <f t="shared" si="0"/>
        <v>67.349832961930957</v>
      </c>
      <c r="C46">
        <f t="shared" si="1"/>
        <v>87.964594300514207</v>
      </c>
      <c r="D46">
        <f t="shared" si="2"/>
        <v>78.365089056926635</v>
      </c>
    </row>
    <row r="47" spans="1:4">
      <c r="A47">
        <v>145</v>
      </c>
      <c r="B47">
        <f t="shared" si="0"/>
        <v>68.541957952775178</v>
      </c>
      <c r="C47">
        <f t="shared" si="1"/>
        <v>91.106186954104004</v>
      </c>
      <c r="D47">
        <f t="shared" si="2"/>
        <v>79.752189469295914</v>
      </c>
    </row>
    <row r="48" spans="1:4">
      <c r="A48">
        <v>150</v>
      </c>
      <c r="B48">
        <f t="shared" si="0"/>
        <v>69.713700231733512</v>
      </c>
      <c r="C48">
        <f t="shared" si="1"/>
        <v>94.247779607693801</v>
      </c>
      <c r="D48">
        <f t="shared" si="2"/>
        <v>81.115573519472235</v>
      </c>
    </row>
    <row r="49" spans="1:4">
      <c r="A49">
        <v>155</v>
      </c>
      <c r="B49">
        <f t="shared" si="0"/>
        <v>70.866070866106298</v>
      </c>
      <c r="C49">
        <f t="shared" si="1"/>
        <v>97.389372261283597</v>
      </c>
      <c r="D49">
        <f t="shared" si="2"/>
        <v>82.456417637678982</v>
      </c>
    </row>
    <row r="50" spans="1:4">
      <c r="A50">
        <v>160</v>
      </c>
      <c r="B50">
        <f t="shared" si="0"/>
        <v>72</v>
      </c>
      <c r="C50">
        <f t="shared" si="1"/>
        <v>100.53096491487338</v>
      </c>
      <c r="D50">
        <f t="shared" si="2"/>
        <v>83.775804095727821</v>
      </c>
    </row>
    <row r="51" spans="1:4">
      <c r="A51">
        <v>165</v>
      </c>
      <c r="B51">
        <f t="shared" si="0"/>
        <v>73.116345641723655</v>
      </c>
      <c r="C51">
        <f t="shared" si="1"/>
        <v>103.67255756846316</v>
      </c>
      <c r="D51">
        <f t="shared" si="2"/>
        <v>85.074731231618898</v>
      </c>
    </row>
    <row r="52" spans="1:4">
      <c r="A52">
        <v>170</v>
      </c>
      <c r="B52">
        <f t="shared" si="0"/>
        <v>74.215901261117892</v>
      </c>
      <c r="C52">
        <f t="shared" si="1"/>
        <v>106.81415022205297</v>
      </c>
      <c r="D52">
        <f t="shared" si="2"/>
        <v>86.354122289434613</v>
      </c>
    </row>
    <row r="53" spans="1:4">
      <c r="A53">
        <v>175</v>
      </c>
      <c r="B53">
        <f t="shared" si="0"/>
        <v>75.29940238806681</v>
      </c>
      <c r="C53">
        <f t="shared" si="1"/>
        <v>109.95574287564276</v>
      </c>
      <c r="D53">
        <f t="shared" si="2"/>
        <v>87.614833097056419</v>
      </c>
    </row>
    <row r="54" spans="1:4">
      <c r="A54">
        <v>180</v>
      </c>
      <c r="B54">
        <f t="shared" si="0"/>
        <v>76.367532368147138</v>
      </c>
      <c r="C54">
        <f t="shared" si="1"/>
        <v>113.09733552923257</v>
      </c>
      <c r="D54">
        <f t="shared" si="2"/>
        <v>88.857658763167322</v>
      </c>
    </row>
    <row r="55" spans="1:4">
      <c r="A55">
        <v>185</v>
      </c>
      <c r="B55">
        <f t="shared" si="0"/>
        <v>77.420927403383644</v>
      </c>
      <c r="C55">
        <f t="shared" si="1"/>
        <v>116.23892818282235</v>
      </c>
      <c r="D55">
        <f t="shared" si="2"/>
        <v>90.083339542436576</v>
      </c>
    </row>
    <row r="56" spans="1:4">
      <c r="A56">
        <v>190</v>
      </c>
      <c r="B56">
        <f t="shared" si="0"/>
        <v>78.46018098373213</v>
      </c>
      <c r="C56">
        <f t="shared" si="1"/>
        <v>119.38052083641215</v>
      </c>
      <c r="D56">
        <f t="shared" si="2"/>
        <v>91.292565991784599</v>
      </c>
    </row>
    <row r="57" spans="1:4">
      <c r="A57">
        <v>195</v>
      </c>
      <c r="B57">
        <f t="shared" si="0"/>
        <v>79.485847796950623</v>
      </c>
      <c r="C57">
        <f t="shared" si="1"/>
        <v>122.52211349000193</v>
      </c>
      <c r="D57">
        <f t="shared" si="2"/>
        <v>92.485983519724641</v>
      </c>
    </row>
    <row r="58" spans="1:4">
      <c r="A58">
        <v>200</v>
      </c>
      <c r="B58">
        <f t="shared" si="0"/>
        <v>80.498447189992433</v>
      </c>
      <c r="C58">
        <f t="shared" si="1"/>
        <v>125.66370614359174</v>
      </c>
      <c r="D58">
        <f t="shared" si="2"/>
        <v>93.664196413876354</v>
      </c>
    </row>
    <row r="59" spans="1:4">
      <c r="A59">
        <v>205</v>
      </c>
      <c r="B59">
        <f t="shared" si="0"/>
        <v>81.498466243236763</v>
      </c>
      <c r="C59">
        <f t="shared" si="1"/>
        <v>128.80529879718151</v>
      </c>
      <c r="D59">
        <f t="shared" si="2"/>
        <v>94.827771417995649</v>
      </c>
    </row>
    <row r="60" spans="1:4">
      <c r="A60">
        <v>210</v>
      </c>
      <c r="B60">
        <f t="shared" si="0"/>
        <v>82.486362509205122</v>
      </c>
      <c r="C60">
        <f t="shared" si="1"/>
        <v>131.94689145077132</v>
      </c>
      <c r="D60">
        <f t="shared" si="2"/>
        <v>95.977240918616062</v>
      </c>
    </row>
    <row r="61" spans="1:4">
      <c r="A61">
        <v>215</v>
      </c>
      <c r="B61">
        <f t="shared" si="0"/>
        <v>83.462566459461343</v>
      </c>
      <c r="C61">
        <f t="shared" si="1"/>
        <v>135.0884841043611</v>
      </c>
      <c r="D61">
        <f t="shared" si="2"/>
        <v>97.11310579214576</v>
      </c>
    </row>
    <row r="62" spans="1:4">
      <c r="A62">
        <v>220</v>
      </c>
      <c r="B62">
        <f t="shared" si="0"/>
        <v>84.427483676821737</v>
      </c>
      <c r="C62">
        <f t="shared" si="1"/>
        <v>138.23007675795091</v>
      </c>
      <c r="D62">
        <f t="shared" si="2"/>
        <v>98.235837955620497</v>
      </c>
    </row>
    <row r="63" spans="1:4">
      <c r="A63">
        <v>225</v>
      </c>
      <c r="B63">
        <f t="shared" si="0"/>
        <v>85.381496824546232</v>
      </c>
      <c r="C63">
        <f t="shared" si="1"/>
        <v>141.37166941154069</v>
      </c>
      <c r="D63">
        <f t="shared" si="2"/>
        <v>99.345882657961013</v>
      </c>
    </row>
    <row r="64" spans="1:4">
      <c r="A64">
        <v>230</v>
      </c>
      <c r="B64">
        <f t="shared" si="0"/>
        <v>86.324967419628948</v>
      </c>
      <c r="C64">
        <f t="shared" si="1"/>
        <v>144.5132620651305</v>
      </c>
      <c r="D64">
        <f t="shared" si="2"/>
        <v>100.4436605432906</v>
      </c>
    </row>
    <row r="65" spans="1:4">
      <c r="A65">
        <v>235</v>
      </c>
      <c r="B65">
        <f t="shared" si="0"/>
        <v>87.258237433493917</v>
      </c>
      <c r="C65">
        <f t="shared" si="1"/>
        <v>147.65485471872029</v>
      </c>
      <c r="D65">
        <f t="shared" si="2"/>
        <v>101.52956951342904</v>
      </c>
    </row>
    <row r="66" spans="1:4">
      <c r="A66">
        <v>240</v>
      </c>
      <c r="B66">
        <f t="shared" si="0"/>
        <v>88.181630740194407</v>
      </c>
      <c r="C66">
        <f t="shared" si="1"/>
        <v>150.79644737231007</v>
      </c>
      <c r="D66">
        <f t="shared" si="2"/>
        <v>102.60398641294913</v>
      </c>
    </row>
    <row r="67" spans="1:4">
      <c r="A67">
        <v>245</v>
      </c>
      <c r="B67">
        <f t="shared" si="0"/>
        <v>89.095454429504997</v>
      </c>
      <c r="C67">
        <f t="shared" si="1"/>
        <v>153.93804002589988</v>
      </c>
      <c r="D67">
        <f t="shared" si="2"/>
        <v>103.66726855702854</v>
      </c>
    </row>
    <row r="68" spans="1:4">
      <c r="A68">
        <v>250</v>
      </c>
      <c r="B68">
        <f t="shared" si="0"/>
        <v>90</v>
      </c>
      <c r="C68">
        <f t="shared" si="1"/>
        <v>157.07963267948966</v>
      </c>
      <c r="D68">
        <f t="shared" si="2"/>
        <v>104.71975511965977</v>
      </c>
    </row>
  </sheetData>
  <phoneticPr fontId="1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F20"/>
  <sheetViews>
    <sheetView workbookViewId="0">
      <selection activeCell="K21" sqref="K21"/>
    </sheetView>
  </sheetViews>
  <sheetFormatPr defaultRowHeight="12.75"/>
  <cols>
    <col min="1" max="1" width="57" bestFit="1" customWidth="1"/>
    <col min="2" max="2" width="10.42578125" bestFit="1" customWidth="1"/>
    <col min="3" max="3" width="11" bestFit="1" customWidth="1"/>
    <col min="4" max="4" width="8.5703125" customWidth="1"/>
  </cols>
  <sheetData>
    <row r="1" spans="1:6" ht="13.5" thickBot="1">
      <c r="B1" s="2" t="s">
        <v>25</v>
      </c>
      <c r="C1" s="3" t="s">
        <v>21</v>
      </c>
      <c r="D1" s="4" t="s">
        <v>22</v>
      </c>
      <c r="E1" s="5" t="s">
        <v>23</v>
      </c>
      <c r="F1" s="6" t="s">
        <v>24</v>
      </c>
    </row>
    <row r="3" spans="1:6">
      <c r="C3" t="s">
        <v>186</v>
      </c>
      <c r="E3" t="s">
        <v>187</v>
      </c>
    </row>
    <row r="4" spans="1:6">
      <c r="C4" t="s">
        <v>503</v>
      </c>
      <c r="E4" t="s">
        <v>504</v>
      </c>
    </row>
    <row r="5" spans="1:6">
      <c r="A5" t="s">
        <v>137</v>
      </c>
      <c r="C5" s="31">
        <v>130</v>
      </c>
      <c r="D5" s="31"/>
      <c r="E5" s="31">
        <v>110</v>
      </c>
      <c r="F5" s="31"/>
    </row>
    <row r="6" spans="1:6">
      <c r="A6" t="s">
        <v>505</v>
      </c>
      <c r="C6" s="31">
        <f>C5*0.85</f>
        <v>110.5</v>
      </c>
      <c r="D6" s="31"/>
      <c r="E6" s="31">
        <f>E5*0.85</f>
        <v>93.5</v>
      </c>
      <c r="F6" s="31"/>
    </row>
    <row r="7" spans="1:6">
      <c r="A7" t="s">
        <v>506</v>
      </c>
      <c r="B7" t="s">
        <v>507</v>
      </c>
      <c r="C7" s="31">
        <v>600</v>
      </c>
      <c r="D7" s="31">
        <v>7</v>
      </c>
      <c r="E7" s="31">
        <v>400</v>
      </c>
      <c r="F7" s="31">
        <v>7</v>
      </c>
    </row>
    <row r="8" spans="1:6">
      <c r="A8" t="s">
        <v>508</v>
      </c>
      <c r="B8" s="74" t="s">
        <v>512</v>
      </c>
      <c r="C8" s="31">
        <v>1000</v>
      </c>
      <c r="D8" s="31">
        <v>2.5</v>
      </c>
      <c r="E8" s="31">
        <v>650</v>
      </c>
      <c r="F8" s="31">
        <v>2.5</v>
      </c>
    </row>
    <row r="9" spans="1:6">
      <c r="A9" t="s">
        <v>509</v>
      </c>
      <c r="C9" s="31">
        <f>1.5*C8</f>
        <v>1500</v>
      </c>
      <c r="D9" s="31"/>
      <c r="E9" s="31">
        <f>1.5*E8</f>
        <v>975</v>
      </c>
      <c r="F9" s="31"/>
    </row>
    <row r="10" spans="1:6">
      <c r="A10" t="s">
        <v>510</v>
      </c>
      <c r="C10" s="31"/>
      <c r="D10" s="31"/>
      <c r="E10" s="31"/>
      <c r="F10" s="31"/>
    </row>
    <row r="11" spans="1:6">
      <c r="A11" t="s">
        <v>511</v>
      </c>
      <c r="B11" t="s">
        <v>513</v>
      </c>
      <c r="C11" s="31">
        <v>5</v>
      </c>
      <c r="D11" s="31"/>
      <c r="E11" s="31">
        <v>6</v>
      </c>
      <c r="F11" s="31"/>
    </row>
    <row r="12" spans="1:6">
      <c r="A12" t="s">
        <v>514</v>
      </c>
      <c r="C12" s="31">
        <v>12500</v>
      </c>
      <c r="D12" s="31"/>
      <c r="E12" s="31">
        <v>6000</v>
      </c>
      <c r="F12" s="31"/>
    </row>
    <row r="13" spans="1:6">
      <c r="A13" t="s">
        <v>515</v>
      </c>
      <c r="C13" s="31">
        <v>4200</v>
      </c>
      <c r="D13" s="31"/>
      <c r="E13" s="31">
        <v>3000</v>
      </c>
      <c r="F13" s="31"/>
    </row>
    <row r="14" spans="1:6">
      <c r="A14" t="s">
        <v>516</v>
      </c>
      <c r="C14" s="31"/>
      <c r="D14" s="31"/>
      <c r="E14" s="31"/>
      <c r="F14" s="31"/>
    </row>
    <row r="15" spans="1:6">
      <c r="A15" t="s">
        <v>517</v>
      </c>
      <c r="C15" s="31">
        <v>3.5</v>
      </c>
      <c r="D15" s="31"/>
      <c r="E15" s="31"/>
      <c r="F15" s="31"/>
    </row>
    <row r="16" spans="1:6">
      <c r="A16" t="s">
        <v>518</v>
      </c>
      <c r="C16" s="76">
        <v>650</v>
      </c>
      <c r="D16" s="77">
        <f>D7-(C16-C7)/(C8-C7)*(D7-D8)</f>
        <v>6.4375</v>
      </c>
      <c r="E16" s="76">
        <v>650</v>
      </c>
      <c r="F16" s="77">
        <f>F7-(E16-E7)/(E8-E7)*(F7-F8)</f>
        <v>2.5</v>
      </c>
    </row>
    <row r="17" spans="3:6">
      <c r="C17" s="1" t="s">
        <v>522</v>
      </c>
      <c r="D17" s="75">
        <f>14*D16</f>
        <v>90.125</v>
      </c>
      <c r="E17" s="1"/>
      <c r="F17" s="75">
        <f>14*F16</f>
        <v>35</v>
      </c>
    </row>
    <row r="18" spans="3:6">
      <c r="C18" s="1" t="s">
        <v>520</v>
      </c>
      <c r="D18" s="75">
        <f>C16/9</f>
        <v>72.222222222222229</v>
      </c>
      <c r="E18" s="1"/>
      <c r="F18" s="75">
        <f>E16/9</f>
        <v>72.222222222222229</v>
      </c>
    </row>
    <row r="19" spans="3:6">
      <c r="C19" s="1" t="s">
        <v>521</v>
      </c>
      <c r="D19" s="75">
        <f>MAX(D17:D18)</f>
        <v>90.125</v>
      </c>
      <c r="E19" s="1"/>
      <c r="F19" s="75">
        <f>MAX(F17:F18)</f>
        <v>72.222222222222229</v>
      </c>
    </row>
    <row r="20" spans="3:6">
      <c r="C20" s="1" t="s">
        <v>519</v>
      </c>
      <c r="D20" s="75">
        <f>SQRT(D19*C16)</f>
        <v>242.03563787178118</v>
      </c>
      <c r="E20" s="1"/>
      <c r="F20" s="75">
        <f>SQRT(F19*E16)</f>
        <v>216.66666666666666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3"/>
  <sheetViews>
    <sheetView workbookViewId="0">
      <selection activeCell="C2" sqref="C2"/>
    </sheetView>
  </sheetViews>
  <sheetFormatPr defaultRowHeight="12.75"/>
  <cols>
    <col min="2" max="6" width="8.42578125" style="7" customWidth="1"/>
    <col min="7" max="7" width="13.42578125" bestFit="1" customWidth="1"/>
  </cols>
  <sheetData>
    <row r="2" spans="2:10">
      <c r="B2" s="84" t="s">
        <v>614</v>
      </c>
      <c r="C2" s="84" t="s">
        <v>615</v>
      </c>
      <c r="D2" s="84" t="s">
        <v>616</v>
      </c>
      <c r="E2" s="84" t="s">
        <v>617</v>
      </c>
      <c r="F2" s="84" t="s">
        <v>635</v>
      </c>
      <c r="G2" s="78" t="s">
        <v>618</v>
      </c>
      <c r="H2" s="78" t="s">
        <v>361</v>
      </c>
      <c r="I2" s="78" t="s">
        <v>619</v>
      </c>
    </row>
    <row r="3" spans="2:10">
      <c r="B3" s="81">
        <v>0</v>
      </c>
      <c r="C3" s="82">
        <f>B3/180*PI()</f>
        <v>0</v>
      </c>
      <c r="D3" s="82">
        <f>COS(C3)</f>
        <v>1</v>
      </c>
      <c r="E3" s="82">
        <f>1-C3^2/2</f>
        <v>1</v>
      </c>
      <c r="F3" s="83">
        <f>1-D3/E3</f>
        <v>0</v>
      </c>
      <c r="G3">
        <f>1-C3^2/2+C3^4/24</f>
        <v>1</v>
      </c>
      <c r="H3" s="79">
        <f>1-D3/G3</f>
        <v>0</v>
      </c>
      <c r="I3">
        <f>1-C3^2/2+C3^4/24-C3^6/720</f>
        <v>1</v>
      </c>
      <c r="J3" s="79">
        <f>1-D3/I3</f>
        <v>0</v>
      </c>
    </row>
    <row r="4" spans="2:10">
      <c r="B4" s="81">
        <f>B3+1</f>
        <v>1</v>
      </c>
      <c r="C4" s="82">
        <f t="shared" ref="C4:C67" si="0">B4/180*PI()</f>
        <v>1.7453292519943295E-2</v>
      </c>
      <c r="D4" s="82">
        <f t="shared" ref="D4:D67" si="1">COS(C4)</f>
        <v>0.99984769515639127</v>
      </c>
      <c r="E4" s="82">
        <f t="shared" ref="E4:E67" si="2">1-C4^2/2</f>
        <v>0.99984769129010664</v>
      </c>
      <c r="F4" s="83">
        <f t="shared" ref="F4:F67" si="3">1-D4/E4</f>
        <v>-3.8668734880786815E-9</v>
      </c>
      <c r="G4">
        <f t="shared" ref="G4:G67" si="4">1-C4^2/2+C4^4/24</f>
        <v>0.99984769515643046</v>
      </c>
      <c r="H4" s="79">
        <f t="shared" ref="H4:H67" si="5">1-D4/G4</f>
        <v>3.9190872769268026E-14</v>
      </c>
      <c r="I4">
        <f t="shared" ref="I4:I67" si="6">1-C4^2/2+C4^4/24-C4^6/720</f>
        <v>0.99984769515639116</v>
      </c>
      <c r="J4" s="79">
        <f t="shared" ref="J4:J67" si="7">1-D4/I4</f>
        <v>0</v>
      </c>
    </row>
    <row r="5" spans="2:10">
      <c r="B5" s="81">
        <f t="shared" ref="B5:B68" si="8">B4+1</f>
        <v>2</v>
      </c>
      <c r="C5" s="82">
        <f t="shared" si="0"/>
        <v>3.4906585039886591E-2</v>
      </c>
      <c r="D5" s="82">
        <f t="shared" si="1"/>
        <v>0.99939082701909576</v>
      </c>
      <c r="E5" s="82">
        <f t="shared" si="2"/>
        <v>0.99939076516042658</v>
      </c>
      <c r="F5" s="83">
        <f t="shared" si="3"/>
        <v>-6.1896378689141329E-8</v>
      </c>
      <c r="G5">
        <f t="shared" si="4"/>
        <v>0.9993908270216082</v>
      </c>
      <c r="H5" s="79">
        <f t="shared" si="5"/>
        <v>2.5139890169612045E-12</v>
      </c>
      <c r="I5">
        <f t="shared" si="6"/>
        <v>0.99939082701909565</v>
      </c>
      <c r="J5" s="79">
        <f t="shared" si="7"/>
        <v>0</v>
      </c>
    </row>
    <row r="6" spans="2:10">
      <c r="B6" s="81">
        <f t="shared" si="8"/>
        <v>3</v>
      </c>
      <c r="C6" s="82">
        <f t="shared" si="0"/>
        <v>5.2359877559829883E-2</v>
      </c>
      <c r="D6" s="82">
        <f t="shared" si="1"/>
        <v>0.99862953475457383</v>
      </c>
      <c r="E6" s="82">
        <f t="shared" si="2"/>
        <v>0.99862922161095979</v>
      </c>
      <c r="F6" s="83">
        <f t="shared" si="3"/>
        <v>-3.1357345364746436E-7</v>
      </c>
      <c r="G6">
        <f t="shared" si="4"/>
        <v>0.99862953478319172</v>
      </c>
      <c r="H6" s="79">
        <f t="shared" si="5"/>
        <v>2.8657187733927003E-11</v>
      </c>
      <c r="I6">
        <f t="shared" si="6"/>
        <v>0.99862953475457239</v>
      </c>
      <c r="J6" s="79">
        <f t="shared" si="7"/>
        <v>0</v>
      </c>
    </row>
    <row r="7" spans="2:10">
      <c r="B7" s="81">
        <f t="shared" si="8"/>
        <v>4</v>
      </c>
      <c r="C7" s="82">
        <f t="shared" si="0"/>
        <v>6.9813170079773182E-2</v>
      </c>
      <c r="D7" s="82">
        <f t="shared" si="1"/>
        <v>0.9975640502598242</v>
      </c>
      <c r="E7" s="82">
        <f t="shared" si="2"/>
        <v>0.9975630606417063</v>
      </c>
      <c r="F7" s="83">
        <f t="shared" si="3"/>
        <v>-9.9203564851713111E-7</v>
      </c>
      <c r="G7">
        <f t="shared" si="4"/>
        <v>0.99756405042061225</v>
      </c>
      <c r="H7" s="79">
        <f t="shared" si="5"/>
        <v>1.6118062440284575E-10</v>
      </c>
      <c r="I7">
        <f t="shared" si="6"/>
        <v>0.99756405025981021</v>
      </c>
      <c r="J7" s="79">
        <f t="shared" si="7"/>
        <v>-1.3988810110276972E-14</v>
      </c>
    </row>
    <row r="8" spans="2:10">
      <c r="B8" s="81">
        <f t="shared" si="8"/>
        <v>5</v>
      </c>
      <c r="C8" s="82">
        <f t="shared" si="0"/>
        <v>8.7266462599716474E-2</v>
      </c>
      <c r="D8" s="82">
        <f t="shared" si="1"/>
        <v>0.99619469809174555</v>
      </c>
      <c r="E8" s="82">
        <f t="shared" si="2"/>
        <v>0.99619228225266609</v>
      </c>
      <c r="F8" s="83">
        <f t="shared" si="3"/>
        <v>-2.4250730732422454E-6</v>
      </c>
      <c r="G8">
        <f t="shared" si="4"/>
        <v>0.99619469870507327</v>
      </c>
      <c r="H8" s="79">
        <f t="shared" si="5"/>
        <v>6.156705145698993E-10</v>
      </c>
      <c r="I8">
        <f t="shared" si="6"/>
        <v>0.99619469809166206</v>
      </c>
      <c r="J8" s="79">
        <f t="shared" si="7"/>
        <v>-8.3710816056736803E-14</v>
      </c>
    </row>
    <row r="9" spans="2:10">
      <c r="B9" s="81">
        <f t="shared" si="8"/>
        <v>6</v>
      </c>
      <c r="C9" s="82">
        <f t="shared" si="0"/>
        <v>0.10471975511965977</v>
      </c>
      <c r="D9" s="82">
        <f t="shared" si="1"/>
        <v>0.99452189536827329</v>
      </c>
      <c r="E9" s="82">
        <f t="shared" si="2"/>
        <v>0.99451688644383929</v>
      </c>
      <c r="F9" s="83">
        <f t="shared" si="3"/>
        <v>-5.0365403567731448E-6</v>
      </c>
      <c r="G9">
        <f t="shared" si="4"/>
        <v>0.99452189719955086</v>
      </c>
      <c r="H9" s="79">
        <f t="shared" si="5"/>
        <v>1.8413647273618494E-9</v>
      </c>
      <c r="I9">
        <f t="shared" si="6"/>
        <v>0.99452189536791469</v>
      </c>
      <c r="J9" s="79">
        <f t="shared" si="7"/>
        <v>-3.6060043839825084E-13</v>
      </c>
    </row>
    <row r="10" spans="2:10">
      <c r="B10" s="81">
        <f t="shared" si="8"/>
        <v>7</v>
      </c>
      <c r="C10" s="82">
        <f t="shared" si="0"/>
        <v>0.12217304763960307</v>
      </c>
      <c r="D10" s="82">
        <f t="shared" si="1"/>
        <v>0.99254615164132198</v>
      </c>
      <c r="E10" s="82">
        <f t="shared" si="2"/>
        <v>0.99253687321522566</v>
      </c>
      <c r="F10" s="83">
        <f t="shared" si="3"/>
        <v>-9.3481928447047835E-6</v>
      </c>
      <c r="G10">
        <f t="shared" si="4"/>
        <v>0.99254615625879328</v>
      </c>
      <c r="H10" s="79">
        <f t="shared" si="5"/>
        <v>4.6521476670946527E-9</v>
      </c>
      <c r="I10">
        <f t="shared" si="6"/>
        <v>0.99254615164009119</v>
      </c>
      <c r="J10" s="79">
        <f t="shared" si="7"/>
        <v>-1.2401191185062999E-12</v>
      </c>
    </row>
    <row r="11" spans="2:10">
      <c r="B11" s="81">
        <f t="shared" si="8"/>
        <v>8</v>
      </c>
      <c r="C11" s="82">
        <f t="shared" si="0"/>
        <v>0.13962634015954636</v>
      </c>
      <c r="D11" s="82">
        <f t="shared" si="1"/>
        <v>0.99026806874157036</v>
      </c>
      <c r="E11" s="82">
        <f t="shared" si="2"/>
        <v>0.99025224256682531</v>
      </c>
      <c r="F11" s="83">
        <f t="shared" si="3"/>
        <v>-1.5981963044087166E-5</v>
      </c>
      <c r="G11">
        <f t="shared" si="4"/>
        <v>0.99026807902932135</v>
      </c>
      <c r="H11" s="79">
        <f t="shared" si="5"/>
        <v>1.0388854443377227E-8</v>
      </c>
      <c r="I11">
        <f t="shared" si="6"/>
        <v>0.99026806873798834</v>
      </c>
      <c r="J11" s="79">
        <f t="shared" si="7"/>
        <v>-3.617328658833685E-12</v>
      </c>
    </row>
    <row r="12" spans="2:10">
      <c r="B12" s="81">
        <f t="shared" si="8"/>
        <v>9</v>
      </c>
      <c r="C12" s="82">
        <f t="shared" si="0"/>
        <v>0.15707963267948966</v>
      </c>
      <c r="D12" s="82">
        <f t="shared" si="1"/>
        <v>0.98768834059513777</v>
      </c>
      <c r="E12" s="82">
        <f t="shared" si="2"/>
        <v>0.98766299449863826</v>
      </c>
      <c r="F12" s="83">
        <f t="shared" si="3"/>
        <v>-2.5662697337835993E-5</v>
      </c>
      <c r="G12">
        <f t="shared" si="4"/>
        <v>0.9876883614494284</v>
      </c>
      <c r="H12" s="79">
        <f t="shared" si="5"/>
        <v>2.1114241577357973E-8</v>
      </c>
      <c r="I12">
        <f t="shared" si="6"/>
        <v>0.98768834058594768</v>
      </c>
      <c r="J12" s="79">
        <f t="shared" si="7"/>
        <v>-9.3045571247785119E-12</v>
      </c>
    </row>
    <row r="13" spans="2:10">
      <c r="B13" s="81">
        <f t="shared" si="8"/>
        <v>10</v>
      </c>
      <c r="C13" s="82">
        <f t="shared" si="0"/>
        <v>0.17453292519943295</v>
      </c>
      <c r="D13" s="82">
        <f t="shared" si="1"/>
        <v>0.98480775301220802</v>
      </c>
      <c r="E13" s="82">
        <f t="shared" si="2"/>
        <v>0.9847691290106646</v>
      </c>
      <c r="F13" s="83">
        <f t="shared" si="3"/>
        <v>-3.9221377280851399E-5</v>
      </c>
      <c r="G13">
        <f t="shared" si="4"/>
        <v>0.98480779224918025</v>
      </c>
      <c r="H13" s="79">
        <f t="shared" si="5"/>
        <v>3.9842264154543727E-8</v>
      </c>
      <c r="I13">
        <f t="shared" si="6"/>
        <v>0.98480775299086043</v>
      </c>
      <c r="J13" s="79">
        <f t="shared" si="7"/>
        <v>-2.1676882511201256E-11</v>
      </c>
    </row>
    <row r="14" spans="2:10">
      <c r="B14" s="81">
        <f t="shared" si="8"/>
        <v>11</v>
      </c>
      <c r="C14" s="82">
        <f t="shared" si="0"/>
        <v>0.19198621771937624</v>
      </c>
      <c r="D14" s="82">
        <f t="shared" si="1"/>
        <v>0.98162718344766398</v>
      </c>
      <c r="E14" s="82">
        <f t="shared" si="2"/>
        <v>0.98157064610290412</v>
      </c>
      <c r="F14" s="83">
        <f t="shared" si="3"/>
        <v>-5.7598854432239222E-5</v>
      </c>
      <c r="G14">
        <f t="shared" si="4"/>
        <v>0.98162725295041486</v>
      </c>
      <c r="H14" s="79">
        <f t="shared" si="5"/>
        <v>7.0803607643554756E-8</v>
      </c>
      <c r="I14">
        <f t="shared" si="6"/>
        <v>0.98162718340190647</v>
      </c>
      <c r="J14" s="79">
        <f t="shared" si="7"/>
        <v>-4.6614045956516748E-11</v>
      </c>
    </row>
    <row r="15" spans="2:10">
      <c r="B15" s="81">
        <f t="shared" si="8"/>
        <v>12</v>
      </c>
      <c r="C15" s="82">
        <f t="shared" si="0"/>
        <v>0.20943951023931953</v>
      </c>
      <c r="D15" s="82">
        <f t="shared" si="1"/>
        <v>0.97814760073380569</v>
      </c>
      <c r="E15" s="82">
        <f t="shared" si="2"/>
        <v>0.97806754577535693</v>
      </c>
      <c r="F15" s="83">
        <f t="shared" si="3"/>
        <v>-8.1850132738425785E-5</v>
      </c>
      <c r="G15">
        <f t="shared" si="4"/>
        <v>0.97814771786674293</v>
      </c>
      <c r="H15" s="79">
        <f t="shared" si="5"/>
        <v>1.1974974234441049E-7</v>
      </c>
      <c r="I15">
        <f t="shared" si="6"/>
        <v>0.97814760064202799</v>
      </c>
      <c r="J15" s="79">
        <f t="shared" si="7"/>
        <v>-9.382805643554093E-11</v>
      </c>
    </row>
    <row r="16" spans="2:10">
      <c r="B16" s="81">
        <f t="shared" si="8"/>
        <v>13</v>
      </c>
      <c r="C16" s="82">
        <f t="shared" si="0"/>
        <v>0.22689280275926282</v>
      </c>
      <c r="D16" s="82">
        <f t="shared" si="1"/>
        <v>0.97437006478523525</v>
      </c>
      <c r="E16" s="82">
        <f t="shared" si="2"/>
        <v>0.97425982802802313</v>
      </c>
      <c r="F16" s="83">
        <f t="shared" si="3"/>
        <v>-1.1314923805816335E-4</v>
      </c>
      <c r="G16">
        <f t="shared" si="4"/>
        <v>0.97437025410354761</v>
      </c>
      <c r="H16" s="79">
        <f t="shared" si="5"/>
        <v>1.9429812392335322E-7</v>
      </c>
      <c r="I16">
        <f t="shared" si="6"/>
        <v>0.97437006461113596</v>
      </c>
      <c r="J16" s="79">
        <f t="shared" si="7"/>
        <v>-1.7867884949396284E-10</v>
      </c>
    </row>
    <row r="17" spans="2:10">
      <c r="B17" s="81">
        <f t="shared" si="8"/>
        <v>14</v>
      </c>
      <c r="C17" s="82">
        <f t="shared" si="0"/>
        <v>0.24434609527920614</v>
      </c>
      <c r="D17" s="82">
        <f t="shared" si="1"/>
        <v>0.97029572627599647</v>
      </c>
      <c r="E17" s="82">
        <f t="shared" si="2"/>
        <v>0.97014749286090252</v>
      </c>
      <c r="F17" s="83">
        <f t="shared" si="3"/>
        <v>-1.5279472058082888E-4</v>
      </c>
      <c r="G17">
        <f t="shared" si="4"/>
        <v>0.97029602155798411</v>
      </c>
      <c r="H17" s="79">
        <f t="shared" si="5"/>
        <v>3.0432154840553949E-7</v>
      </c>
      <c r="I17">
        <f t="shared" si="6"/>
        <v>0.9702957259610514</v>
      </c>
      <c r="J17" s="79">
        <f t="shared" si="7"/>
        <v>-3.2458657983625017E-10</v>
      </c>
    </row>
    <row r="18" spans="2:10">
      <c r="B18" s="81">
        <f t="shared" si="8"/>
        <v>15</v>
      </c>
      <c r="C18" s="82">
        <f t="shared" si="0"/>
        <v>0.26179938779914941</v>
      </c>
      <c r="D18" s="82">
        <f t="shared" si="1"/>
        <v>0.96592582628906831</v>
      </c>
      <c r="E18" s="82">
        <f t="shared" si="2"/>
        <v>0.9657305402739953</v>
      </c>
      <c r="F18" s="83">
        <f t="shared" si="3"/>
        <v>-2.0221584275215143E-4</v>
      </c>
      <c r="G18">
        <f t="shared" si="4"/>
        <v>0.9659262729189807</v>
      </c>
      <c r="H18" s="79">
        <f t="shared" si="5"/>
        <v>4.6238509598950372E-7</v>
      </c>
      <c r="I18">
        <f t="shared" si="6"/>
        <v>0.96592582574218111</v>
      </c>
      <c r="J18" s="79">
        <f t="shared" si="7"/>
        <v>-5.6617932564506646E-10</v>
      </c>
    </row>
    <row r="19" spans="2:10">
      <c r="B19" s="81">
        <f t="shared" si="8"/>
        <v>16</v>
      </c>
      <c r="C19" s="82">
        <f t="shared" si="0"/>
        <v>0.27925268031909273</v>
      </c>
      <c r="D19" s="82">
        <f t="shared" si="1"/>
        <v>0.96126169593831889</v>
      </c>
      <c r="E19" s="82">
        <f t="shared" si="2"/>
        <v>0.96100897026730125</v>
      </c>
      <c r="F19" s="83">
        <f t="shared" si="3"/>
        <v>-2.6297951302933775E-4</v>
      </c>
      <c r="G19">
        <f t="shared" si="4"/>
        <v>0.96126235366723733</v>
      </c>
      <c r="H19" s="79">
        <f t="shared" si="5"/>
        <v>6.8423455457100602E-7</v>
      </c>
      <c r="I19">
        <f t="shared" si="6"/>
        <v>0.96126169502192527</v>
      </c>
      <c r="J19" s="79">
        <f t="shared" si="7"/>
        <v>-9.5332386429447524E-10</v>
      </c>
    </row>
    <row r="20" spans="2:10">
      <c r="B20" s="81">
        <f t="shared" si="8"/>
        <v>17</v>
      </c>
      <c r="C20" s="82">
        <f t="shared" si="0"/>
        <v>0.29670597283903599</v>
      </c>
      <c r="D20" s="82">
        <f t="shared" si="1"/>
        <v>0.95630475596303555</v>
      </c>
      <c r="E20" s="82">
        <f t="shared" si="2"/>
        <v>0.95598278284082061</v>
      </c>
      <c r="F20" s="83">
        <f t="shared" si="3"/>
        <v>-3.3679803443553702E-4</v>
      </c>
      <c r="G20">
        <f t="shared" si="4"/>
        <v>0.95630570207522703</v>
      </c>
      <c r="H20" s="79">
        <f t="shared" si="5"/>
        <v>9.8934074055367915E-7</v>
      </c>
      <c r="I20">
        <f t="shared" si="6"/>
        <v>0.95630475447482266</v>
      </c>
      <c r="J20" s="79">
        <f t="shared" si="7"/>
        <v>-1.5562120481149577E-9</v>
      </c>
    </row>
    <row r="21" spans="2:10">
      <c r="B21" s="81">
        <f t="shared" si="8"/>
        <v>18</v>
      </c>
      <c r="C21" s="82">
        <f t="shared" si="0"/>
        <v>0.31415926535897931</v>
      </c>
      <c r="D21" s="82">
        <f t="shared" si="1"/>
        <v>0.95105651629515353</v>
      </c>
      <c r="E21" s="82">
        <f t="shared" si="2"/>
        <v>0.95065197799455325</v>
      </c>
      <c r="F21" s="83">
        <f t="shared" si="3"/>
        <v>-4.2553774668796507E-4</v>
      </c>
      <c r="G21">
        <f t="shared" si="4"/>
        <v>0.95105784920719494</v>
      </c>
      <c r="H21" s="79">
        <f t="shared" si="5"/>
        <v>1.4015046955195842E-6</v>
      </c>
      <c r="I21">
        <f t="shared" si="6"/>
        <v>0.95105651394442603</v>
      </c>
      <c r="J21" s="79">
        <f t="shared" si="7"/>
        <v>-2.4717010660424421E-9</v>
      </c>
    </row>
    <row r="22" spans="2:10">
      <c r="B22" s="81">
        <f t="shared" si="8"/>
        <v>19</v>
      </c>
      <c r="C22" s="82">
        <f t="shared" si="0"/>
        <v>0.33161255787892263</v>
      </c>
      <c r="D22" s="82">
        <f t="shared" si="1"/>
        <v>0.94551857559931685</v>
      </c>
      <c r="E22" s="82">
        <f t="shared" si="2"/>
        <v>0.94501655572849907</v>
      </c>
      <c r="F22" s="83">
        <f t="shared" si="3"/>
        <v>-5.3122865178889533E-4</v>
      </c>
      <c r="G22">
        <f t="shared" si="4"/>
        <v>0.94552041891915861</v>
      </c>
      <c r="H22" s="79">
        <f t="shared" si="5"/>
        <v>1.9495293860360974E-6</v>
      </c>
      <c r="I22">
        <f t="shared" si="6"/>
        <v>0.94551857197691436</v>
      </c>
      <c r="J22" s="79">
        <f t="shared" si="7"/>
        <v>-3.8311278593994302E-9</v>
      </c>
    </row>
    <row r="23" spans="2:10">
      <c r="B23" s="81">
        <f t="shared" si="8"/>
        <v>20</v>
      </c>
      <c r="C23" s="82">
        <f t="shared" si="0"/>
        <v>0.3490658503988659</v>
      </c>
      <c r="D23" s="82">
        <f t="shared" si="1"/>
        <v>0.93969262078590843</v>
      </c>
      <c r="E23" s="82">
        <f t="shared" si="2"/>
        <v>0.93907651604265829</v>
      </c>
      <c r="F23" s="83">
        <f t="shared" si="3"/>
        <v>-6.560751256419195E-4</v>
      </c>
      <c r="G23">
        <f t="shared" si="4"/>
        <v>0.93969512785890841</v>
      </c>
      <c r="H23" s="79">
        <f t="shared" si="5"/>
        <v>2.6679642425309069E-6</v>
      </c>
      <c r="I23">
        <f t="shared" si="6"/>
        <v>0.93969261532643755</v>
      </c>
      <c r="J23" s="79">
        <f t="shared" si="7"/>
        <v>-5.8098474919887622E-9</v>
      </c>
    </row>
    <row r="24" spans="2:10">
      <c r="B24" s="81">
        <f t="shared" si="8"/>
        <v>21</v>
      </c>
      <c r="C24" s="82">
        <f t="shared" si="0"/>
        <v>0.36651914291880922</v>
      </c>
      <c r="D24" s="82">
        <f t="shared" si="1"/>
        <v>0.93358042649720174</v>
      </c>
      <c r="E24" s="82">
        <f t="shared" si="2"/>
        <v>0.9328318589370308</v>
      </c>
      <c r="F24" s="83">
        <f t="shared" si="3"/>
        <v>-8.0246783276027855E-4</v>
      </c>
      <c r="G24">
        <f t="shared" si="4"/>
        <v>0.93358378546600662</v>
      </c>
      <c r="H24" s="79">
        <f t="shared" si="5"/>
        <v>3.5979296739707678E-6</v>
      </c>
      <c r="I24">
        <f t="shared" si="6"/>
        <v>0.93358041843219552</v>
      </c>
      <c r="J24" s="79">
        <f t="shared" si="7"/>
        <v>-8.6387910158691739E-9</v>
      </c>
    </row>
    <row r="25" spans="2:10">
      <c r="B25" s="81">
        <f t="shared" si="8"/>
        <v>22</v>
      </c>
      <c r="C25" s="82">
        <f t="shared" si="0"/>
        <v>0.38397243543875248</v>
      </c>
      <c r="D25" s="82">
        <f t="shared" si="1"/>
        <v>0.92718385456678742</v>
      </c>
      <c r="E25" s="82">
        <f t="shared" si="2"/>
        <v>0.92628258441161648</v>
      </c>
      <c r="F25" s="83">
        <f t="shared" si="3"/>
        <v>-9.7299697774566596E-4</v>
      </c>
      <c r="G25">
        <f t="shared" si="4"/>
        <v>0.92718829397178826</v>
      </c>
      <c r="H25" s="79">
        <f t="shared" si="5"/>
        <v>4.7880296049074289E-6</v>
      </c>
      <c r="I25">
        <f t="shared" si="6"/>
        <v>0.92718384286725164</v>
      </c>
      <c r="J25" s="79">
        <f t="shared" si="7"/>
        <v>-1.2618355915705592E-8</v>
      </c>
    </row>
    <row r="26" spans="2:10">
      <c r="B26" s="81">
        <f t="shared" si="8"/>
        <v>23</v>
      </c>
      <c r="C26" s="82">
        <f t="shared" si="0"/>
        <v>0.40142572795869574</v>
      </c>
      <c r="D26" s="82">
        <f t="shared" si="1"/>
        <v>0.92050485345244037</v>
      </c>
      <c r="E26" s="82">
        <f t="shared" si="2"/>
        <v>0.91942869246641556</v>
      </c>
      <c r="F26" s="83">
        <f t="shared" si="3"/>
        <v>-1.1704670463763556E-3</v>
      </c>
      <c r="G26">
        <f t="shared" si="4"/>
        <v>0.92051064839936081</v>
      </c>
      <c r="H26" s="79">
        <f t="shared" si="5"/>
        <v>6.2953610917571012E-6</v>
      </c>
      <c r="I26">
        <f t="shared" si="6"/>
        <v>0.92050483675908001</v>
      </c>
      <c r="J26" s="79">
        <f t="shared" si="7"/>
        <v>-1.8135005497299517E-8</v>
      </c>
    </row>
    <row r="27" spans="2:10">
      <c r="B27" s="81">
        <f t="shared" si="8"/>
        <v>24</v>
      </c>
      <c r="C27" s="82">
        <f t="shared" si="0"/>
        <v>0.41887902047863906</v>
      </c>
      <c r="D27" s="82">
        <f t="shared" si="1"/>
        <v>0.91354545764260087</v>
      </c>
      <c r="E27" s="82">
        <f t="shared" si="2"/>
        <v>0.91227018310142793</v>
      </c>
      <c r="F27" s="83">
        <f t="shared" si="3"/>
        <v>-1.3979132112347248E-3</v>
      </c>
      <c r="G27">
        <f t="shared" si="4"/>
        <v>0.91355293656360415</v>
      </c>
      <c r="H27" s="79">
        <f t="shared" si="5"/>
        <v>8.1866312328093827E-6</v>
      </c>
      <c r="I27">
        <f t="shared" si="6"/>
        <v>0.91354543418184664</v>
      </c>
      <c r="J27" s="79">
        <f t="shared" si="7"/>
        <v>-2.5680993331889113E-8</v>
      </c>
    </row>
    <row r="28" spans="2:10">
      <c r="B28" s="81">
        <f t="shared" si="8"/>
        <v>25</v>
      </c>
      <c r="C28" s="82">
        <f t="shared" si="0"/>
        <v>0.43633231299858238</v>
      </c>
      <c r="D28" s="82">
        <f t="shared" si="1"/>
        <v>0.90630778703664994</v>
      </c>
      <c r="E28" s="82">
        <f t="shared" si="2"/>
        <v>0.90480705631665359</v>
      </c>
      <c r="F28" s="83">
        <f t="shared" si="3"/>
        <v>-1.658619602399769E-3</v>
      </c>
      <c r="G28">
        <f t="shared" si="4"/>
        <v>0.9063173390711704</v>
      </c>
      <c r="H28" s="79">
        <f t="shared" si="5"/>
        <v>1.0539392891084631E-5</v>
      </c>
      <c r="I28">
        <f t="shared" si="6"/>
        <v>0.906307754520424</v>
      </c>
      <c r="J28" s="79">
        <f t="shared" si="7"/>
        <v>-3.5877687043495143E-8</v>
      </c>
    </row>
    <row r="29" spans="2:10">
      <c r="B29" s="81">
        <f t="shared" si="8"/>
        <v>26</v>
      </c>
      <c r="C29" s="82">
        <f t="shared" si="0"/>
        <v>0.45378560551852565</v>
      </c>
      <c r="D29" s="82">
        <f t="shared" si="1"/>
        <v>0.89879404629916704</v>
      </c>
      <c r="E29" s="82">
        <f t="shared" si="2"/>
        <v>0.89703931211209254</v>
      </c>
      <c r="F29" s="83">
        <f t="shared" si="3"/>
        <v>-1.9561396734586456E-3</v>
      </c>
      <c r="G29">
        <f t="shared" si="4"/>
        <v>0.89880612932048443</v>
      </c>
      <c r="H29" s="79">
        <f t="shared" si="5"/>
        <v>1.344341223674661E-5</v>
      </c>
      <c r="I29">
        <f t="shared" si="6"/>
        <v>0.89879400180614122</v>
      </c>
      <c r="J29" s="79">
        <f t="shared" si="7"/>
        <v>-4.9503029231345863E-8</v>
      </c>
    </row>
    <row r="30" spans="2:10">
      <c r="B30" s="81">
        <f t="shared" si="8"/>
        <v>27</v>
      </c>
      <c r="C30" s="82">
        <f t="shared" si="0"/>
        <v>0.47123889803846897</v>
      </c>
      <c r="D30" s="82">
        <f t="shared" si="1"/>
        <v>0.8910065241883679</v>
      </c>
      <c r="E30" s="82">
        <f t="shared" si="2"/>
        <v>0.88896695048774477</v>
      </c>
      <c r="F30" s="83">
        <f t="shared" si="3"/>
        <v>-2.2943189277218057E-3</v>
      </c>
      <c r="G30">
        <f t="shared" si="4"/>
        <v>0.89102167350174322</v>
      </c>
      <c r="H30" s="79">
        <f t="shared" si="5"/>
        <v>1.700218280409338E-5</v>
      </c>
      <c r="I30">
        <f t="shared" si="6"/>
        <v>0.89100646402426675</v>
      </c>
      <c r="J30" s="79">
        <f t="shared" si="7"/>
        <v>-6.7523753921605589E-8</v>
      </c>
    </row>
    <row r="31" spans="2:10">
      <c r="B31" s="81">
        <f t="shared" si="8"/>
        <v>28</v>
      </c>
      <c r="C31" s="82">
        <f t="shared" si="0"/>
        <v>0.48869219055841229</v>
      </c>
      <c r="D31" s="82">
        <f t="shared" si="1"/>
        <v>0.88294759285892699</v>
      </c>
      <c r="E31" s="82">
        <f t="shared" si="2"/>
        <v>0.88058997144361029</v>
      </c>
      <c r="F31" s="83">
        <f t="shared" si="3"/>
        <v>-2.677320309986797E-3</v>
      </c>
      <c r="G31">
        <f t="shared" si="4"/>
        <v>0.8829664305969166</v>
      </c>
      <c r="H31" s="79">
        <f t="shared" si="5"/>
        <v>2.1334602694822458E-5</v>
      </c>
      <c r="I31">
        <f t="shared" si="6"/>
        <v>0.882947512393226</v>
      </c>
      <c r="J31" s="79">
        <f t="shared" si="7"/>
        <v>-9.1133051327574321E-8</v>
      </c>
    </row>
    <row r="32" spans="2:10">
      <c r="B32" s="81">
        <f t="shared" si="8"/>
        <v>29</v>
      </c>
      <c r="C32" s="82">
        <f t="shared" si="0"/>
        <v>0.50614548307835561</v>
      </c>
      <c r="D32" s="82">
        <f t="shared" si="1"/>
        <v>0.87461970713939574</v>
      </c>
      <c r="E32" s="82">
        <f t="shared" si="2"/>
        <v>0.87190837497968898</v>
      </c>
      <c r="F32" s="83">
        <f t="shared" si="3"/>
        <v>-3.1096526166181082E-3</v>
      </c>
      <c r="G32">
        <f t="shared" si="4"/>
        <v>0.87464295237974632</v>
      </c>
      <c r="H32" s="79">
        <f t="shared" si="5"/>
        <v>2.6576833766611685E-5</v>
      </c>
      <c r="I32">
        <f t="shared" si="6"/>
        <v>0.87461960061555188</v>
      </c>
      <c r="J32" s="79">
        <f t="shared" si="7"/>
        <v>-1.2179448494187284E-7</v>
      </c>
    </row>
    <row r="33" spans="2:10">
      <c r="B33" s="81">
        <f t="shared" si="8"/>
        <v>30</v>
      </c>
      <c r="C33" s="82">
        <f t="shared" si="0"/>
        <v>0.52359877559829882</v>
      </c>
      <c r="D33" s="82">
        <f t="shared" si="1"/>
        <v>0.86602540378443871</v>
      </c>
      <c r="E33" s="82">
        <f t="shared" si="2"/>
        <v>0.86292216109598119</v>
      </c>
      <c r="F33" s="83">
        <f t="shared" si="3"/>
        <v>-3.5962023324516146E-3</v>
      </c>
      <c r="G33">
        <f t="shared" si="4"/>
        <v>0.86605388341574718</v>
      </c>
      <c r="H33" s="79">
        <f t="shared" si="5"/>
        <v>3.2884364187801829E-5</v>
      </c>
      <c r="I33">
        <f t="shared" si="6"/>
        <v>0.86602526410057112</v>
      </c>
      <c r="J33" s="79">
        <f t="shared" si="7"/>
        <v>-1.6129306312784308E-7</v>
      </c>
    </row>
    <row r="34" spans="2:10">
      <c r="B34" s="81">
        <f t="shared" si="8"/>
        <v>31</v>
      </c>
      <c r="C34" s="82">
        <f t="shared" si="0"/>
        <v>0.54105206811824214</v>
      </c>
      <c r="D34" s="82">
        <f t="shared" si="1"/>
        <v>0.85716730070211233</v>
      </c>
      <c r="E34" s="82">
        <f t="shared" si="2"/>
        <v>0.85363132979248657</v>
      </c>
      <c r="F34" s="83">
        <f t="shared" si="3"/>
        <v>-4.1422693687747092E-3</v>
      </c>
      <c r="G34">
        <f t="shared" si="4"/>
        <v>0.85720196106220592</v>
      </c>
      <c r="H34" s="79">
        <f t="shared" si="5"/>
        <v>4.0434298646085942E-5</v>
      </c>
      <c r="I34">
        <f t="shared" si="6"/>
        <v>0.8571671191588226</v>
      </c>
      <c r="J34" s="79">
        <f t="shared" si="7"/>
        <v>-2.1179450970798541E-7</v>
      </c>
    </row>
    <row r="35" spans="2:10">
      <c r="B35" s="81">
        <f t="shared" si="8"/>
        <v>32</v>
      </c>
      <c r="C35" s="82">
        <f t="shared" si="0"/>
        <v>0.55850536063818546</v>
      </c>
      <c r="D35" s="82">
        <f t="shared" si="1"/>
        <v>0.84804809615642596</v>
      </c>
      <c r="E35" s="82">
        <f t="shared" si="2"/>
        <v>0.84403588106920524</v>
      </c>
      <c r="F35" s="83">
        <f t="shared" si="3"/>
        <v>-4.7536072543954422E-3</v>
      </c>
      <c r="G35">
        <f t="shared" si="4"/>
        <v>0.84809001546818175</v>
      </c>
      <c r="H35" s="79">
        <f t="shared" si="5"/>
        <v>4.9427903867749201E-5</v>
      </c>
      <c r="I35">
        <f t="shared" si="6"/>
        <v>0.84804786216821082</v>
      </c>
      <c r="J35" s="79">
        <f t="shared" si="7"/>
        <v>-2.7591392615100574E-7</v>
      </c>
    </row>
    <row r="36" spans="2:10">
      <c r="B36" s="81">
        <f t="shared" si="8"/>
        <v>33</v>
      </c>
      <c r="C36" s="82">
        <f t="shared" si="0"/>
        <v>0.57595865315812866</v>
      </c>
      <c r="D36" s="82">
        <f t="shared" si="1"/>
        <v>0.83867056794542405</v>
      </c>
      <c r="E36" s="82">
        <f t="shared" si="2"/>
        <v>0.8341358149261372</v>
      </c>
      <c r="F36" s="83">
        <f t="shared" si="3"/>
        <v>-5.4364684241359207E-3</v>
      </c>
      <c r="G36">
        <f t="shared" si="4"/>
        <v>0.83872096957450659</v>
      </c>
      <c r="H36" s="79">
        <f t="shared" si="5"/>
        <v>6.0093440978459256E-5</v>
      </c>
      <c r="I36">
        <f t="shared" si="6"/>
        <v>0.83867026871189398</v>
      </c>
      <c r="J36" s="79">
        <f t="shared" si="7"/>
        <v>-3.5679520449249935E-7</v>
      </c>
    </row>
    <row r="37" spans="2:10">
      <c r="B37" s="81">
        <f t="shared" si="8"/>
        <v>34</v>
      </c>
      <c r="C37" s="82">
        <f t="shared" si="0"/>
        <v>0.59341194567807198</v>
      </c>
      <c r="D37" s="82">
        <f t="shared" si="1"/>
        <v>0.82903757255504174</v>
      </c>
      <c r="E37" s="82">
        <f t="shared" si="2"/>
        <v>0.82393113136328244</v>
      </c>
      <c r="F37" s="83">
        <f t="shared" si="3"/>
        <v>-6.1976553590226136E-3</v>
      </c>
      <c r="G37">
        <f t="shared" si="4"/>
        <v>0.82909783911378476</v>
      </c>
      <c r="H37" s="79">
        <f t="shared" si="5"/>
        <v>7.2689320728902551E-5</v>
      </c>
      <c r="I37">
        <f t="shared" si="6"/>
        <v>0.82903719268790421</v>
      </c>
      <c r="J37" s="79">
        <f t="shared" si="7"/>
        <v>-4.5820276928232317E-7</v>
      </c>
    </row>
    <row r="38" spans="2:10">
      <c r="B38" s="81">
        <f t="shared" si="8"/>
        <v>35</v>
      </c>
      <c r="C38" s="82">
        <f t="shared" si="0"/>
        <v>0.6108652381980153</v>
      </c>
      <c r="D38" s="82">
        <f t="shared" si="1"/>
        <v>0.8191520442889918</v>
      </c>
      <c r="E38" s="82">
        <f t="shared" si="2"/>
        <v>0.81342183038064098</v>
      </c>
      <c r="F38" s="83">
        <f t="shared" si="3"/>
        <v>-7.0445784638819564E-3</v>
      </c>
      <c r="G38">
        <f t="shared" si="4"/>
        <v>0.81922373261039272</v>
      </c>
      <c r="H38" s="79">
        <f t="shared" si="5"/>
        <v>8.7507622822946551E-5</v>
      </c>
      <c r="I38">
        <f t="shared" si="6"/>
        <v>0.8191515653905036</v>
      </c>
      <c r="J38" s="79">
        <f t="shared" si="7"/>
        <v>-5.8462744667586719E-7</v>
      </c>
    </row>
    <row r="39" spans="2:10">
      <c r="B39" s="81">
        <f t="shared" si="8"/>
        <v>36</v>
      </c>
      <c r="C39" s="82">
        <f t="shared" si="0"/>
        <v>0.62831853071795862</v>
      </c>
      <c r="D39" s="82">
        <f t="shared" si="1"/>
        <v>0.80901699437494745</v>
      </c>
      <c r="E39" s="82">
        <f t="shared" si="2"/>
        <v>0.8026079119782128</v>
      </c>
      <c r="F39" s="83">
        <f t="shared" si="3"/>
        <v>-7.9853217256953268E-3</v>
      </c>
      <c r="G39">
        <f t="shared" si="4"/>
        <v>0.80910185138047963</v>
      </c>
      <c r="H39" s="79">
        <f t="shared" si="5"/>
        <v>1.0487802665071211E-4</v>
      </c>
      <c r="I39">
        <f t="shared" si="6"/>
        <v>0.8090163945632729</v>
      </c>
      <c r="J39" s="79">
        <f t="shared" si="7"/>
        <v>-7.4140855321758181E-7</v>
      </c>
    </row>
    <row r="40" spans="2:10">
      <c r="B40" s="81">
        <f t="shared" si="8"/>
        <v>37</v>
      </c>
      <c r="C40" s="82">
        <f t="shared" si="0"/>
        <v>0.64577182323790194</v>
      </c>
      <c r="D40" s="82">
        <f t="shared" si="1"/>
        <v>0.79863551004729283</v>
      </c>
      <c r="E40" s="82">
        <f t="shared" si="2"/>
        <v>0.79148937615599801</v>
      </c>
      <c r="F40" s="83">
        <f t="shared" si="3"/>
        <v>-9.0287173859504577E-3</v>
      </c>
      <c r="G40">
        <f t="shared" si="4"/>
        <v>0.79873548953196716</v>
      </c>
      <c r="H40" s="79">
        <f t="shared" si="5"/>
        <v>1.25172207801727E-4</v>
      </c>
      <c r="I40">
        <f t="shared" si="6"/>
        <v>0.79863476342393602</v>
      </c>
      <c r="J40" s="79">
        <f t="shared" si="7"/>
        <v>-9.348746021764498E-7</v>
      </c>
    </row>
    <row r="41" spans="2:10">
      <c r="B41" s="81">
        <f t="shared" si="8"/>
        <v>38</v>
      </c>
      <c r="C41" s="82">
        <f t="shared" si="0"/>
        <v>0.66322511575784526</v>
      </c>
      <c r="D41" s="82">
        <f t="shared" si="1"/>
        <v>0.7880107536067219</v>
      </c>
      <c r="E41" s="82">
        <f t="shared" si="2"/>
        <v>0.78006622291399641</v>
      </c>
      <c r="F41" s="83">
        <f t="shared" si="3"/>
        <v>-1.0184431089770962E-2</v>
      </c>
      <c r="G41">
        <f t="shared" si="4"/>
        <v>0.78812803396454911</v>
      </c>
      <c r="H41" s="79">
        <f t="shared" si="5"/>
        <v>1.4880876300926715E-4</v>
      </c>
      <c r="I41">
        <f t="shared" si="6"/>
        <v>0.78800982966091571</v>
      </c>
      <c r="J41" s="79">
        <f t="shared" si="7"/>
        <v>-1.1725054325228967E-6</v>
      </c>
    </row>
    <row r="42" spans="2:10">
      <c r="B42" s="81">
        <f t="shared" si="8"/>
        <v>39</v>
      </c>
      <c r="C42" s="82">
        <f t="shared" si="0"/>
        <v>0.68067840827778858</v>
      </c>
      <c r="D42" s="82">
        <f t="shared" si="1"/>
        <v>0.7771459614569709</v>
      </c>
      <c r="E42" s="82">
        <f t="shared" si="2"/>
        <v>0.76833845225220809</v>
      </c>
      <c r="F42" s="83">
        <f t="shared" si="3"/>
        <v>-1.1463059253308927E-2</v>
      </c>
      <c r="G42">
        <f t="shared" si="4"/>
        <v>0.7772829643696918</v>
      </c>
      <c r="H42" s="79">
        <f t="shared" si="5"/>
        <v>1.7625873588000829E-4</v>
      </c>
      <c r="I42">
        <f t="shared" si="6"/>
        <v>0.77714482440162613</v>
      </c>
      <c r="J42" s="79">
        <f t="shared" si="7"/>
        <v>-1.4631189826364022E-6</v>
      </c>
    </row>
    <row r="43" spans="2:10">
      <c r="B43" s="81">
        <f t="shared" si="8"/>
        <v>40</v>
      </c>
      <c r="C43" s="82">
        <f t="shared" si="0"/>
        <v>0.69813170079773179</v>
      </c>
      <c r="D43" s="82">
        <f t="shared" si="1"/>
        <v>0.76604444311897801</v>
      </c>
      <c r="E43" s="82">
        <f t="shared" si="2"/>
        <v>0.75630606417063317</v>
      </c>
      <c r="F43" s="83">
        <f t="shared" si="3"/>
        <v>-1.2876240730694155E-2</v>
      </c>
      <c r="G43">
        <f t="shared" si="4"/>
        <v>0.76620385323063445</v>
      </c>
      <c r="H43" s="79">
        <f t="shared" si="5"/>
        <v>2.0805182717931192E-4</v>
      </c>
      <c r="I43">
        <f t="shared" si="6"/>
        <v>0.76604305115249838</v>
      </c>
      <c r="J43" s="79">
        <f t="shared" si="7"/>
        <v>-1.817086490829567E-6</v>
      </c>
    </row>
    <row r="44" spans="2:10">
      <c r="B44" s="81">
        <f t="shared" si="8"/>
        <v>41</v>
      </c>
      <c r="C44" s="82">
        <f t="shared" si="0"/>
        <v>0.71558499331767511</v>
      </c>
      <c r="D44" s="82">
        <f t="shared" si="1"/>
        <v>0.75470958022277201</v>
      </c>
      <c r="E44" s="82">
        <f t="shared" si="2"/>
        <v>0.74396905866927143</v>
      </c>
      <c r="F44" s="83">
        <f t="shared" si="3"/>
        <v>-1.4436785278022279E-2</v>
      </c>
      <c r="G44">
        <f t="shared" si="4"/>
        <v>0.75489436582238789</v>
      </c>
      <c r="H44" s="79">
        <f t="shared" si="5"/>
        <v>2.4478338689759571E-4</v>
      </c>
      <c r="I44">
        <f t="shared" si="6"/>
        <v>0.75470788471073857</v>
      </c>
      <c r="J44" s="79">
        <f t="shared" si="7"/>
        <v>-2.2465805218363499E-6</v>
      </c>
    </row>
    <row r="45" spans="2:10">
      <c r="B45" s="81">
        <f t="shared" si="8"/>
        <v>42</v>
      </c>
      <c r="C45" s="82">
        <f t="shared" si="0"/>
        <v>0.73303828583761843</v>
      </c>
      <c r="D45" s="82">
        <f t="shared" si="1"/>
        <v>0.74314482547739424</v>
      </c>
      <c r="E45" s="82">
        <f t="shared" si="2"/>
        <v>0.73132743574812298</v>
      </c>
      <c r="F45" s="83">
        <f t="shared" si="3"/>
        <v>-1.6158821824019842E-2</v>
      </c>
      <c r="G45">
        <f t="shared" si="4"/>
        <v>0.74335826021173612</v>
      </c>
      <c r="H45" s="79">
        <f t="shared" si="5"/>
        <v>2.8712230127247995E-4</v>
      </c>
      <c r="I45">
        <f t="shared" si="6"/>
        <v>0.74314277004782259</v>
      </c>
      <c r="J45" s="79">
        <f t="shared" si="7"/>
        <v>-2.7658609549341406E-6</v>
      </c>
    </row>
    <row r="46" spans="2:10">
      <c r="B46" s="81">
        <f t="shared" si="8"/>
        <v>43</v>
      </c>
      <c r="C46" s="82">
        <f t="shared" si="0"/>
        <v>0.75049157835756175</v>
      </c>
      <c r="D46" s="82">
        <f t="shared" si="1"/>
        <v>0.73135370161917046</v>
      </c>
      <c r="E46" s="82">
        <f t="shared" si="2"/>
        <v>0.71838119540718792</v>
      </c>
      <c r="F46" s="83">
        <f t="shared" si="3"/>
        <v>-1.8057970190366035E-2</v>
      </c>
      <c r="G46">
        <f t="shared" si="4"/>
        <v>0.73159938725723539</v>
      </c>
      <c r="H46" s="79">
        <f t="shared" si="5"/>
        <v>3.3581990682907126E-4</v>
      </c>
      <c r="I46">
        <f t="shared" si="6"/>
        <v>0.73135122116472284</v>
      </c>
      <c r="J46" s="79">
        <f t="shared" si="7"/>
        <v>-3.3916049850812868E-6</v>
      </c>
    </row>
    <row r="47" spans="2:10">
      <c r="B47" s="81">
        <f t="shared" si="8"/>
        <v>44</v>
      </c>
      <c r="C47" s="82">
        <f t="shared" si="0"/>
        <v>0.76794487087750496</v>
      </c>
      <c r="D47" s="82">
        <f t="shared" si="1"/>
        <v>0.71933980033865119</v>
      </c>
      <c r="E47" s="82">
        <f t="shared" si="2"/>
        <v>0.70513033764646615</v>
      </c>
      <c r="F47" s="83">
        <f t="shared" si="3"/>
        <v>-2.0151540691912828E-2</v>
      </c>
      <c r="G47">
        <f t="shared" si="4"/>
        <v>0.71962169060921399</v>
      </c>
      <c r="H47" s="79">
        <f t="shared" si="5"/>
        <v>3.9172008604149156E-4</v>
      </c>
      <c r="I47">
        <f t="shared" si="6"/>
        <v>0.71933681991886922</v>
      </c>
      <c r="J47" s="79">
        <f t="shared" si="7"/>
        <v>-4.1432882336156496E-6</v>
      </c>
    </row>
    <row r="48" spans="2:10">
      <c r="B48" s="81">
        <f t="shared" si="8"/>
        <v>45</v>
      </c>
      <c r="C48" s="82">
        <f t="shared" si="0"/>
        <v>0.78539816339744828</v>
      </c>
      <c r="D48" s="82">
        <f t="shared" si="1"/>
        <v>0.70710678118654757</v>
      </c>
      <c r="E48" s="82">
        <f t="shared" si="2"/>
        <v>0.69157486246595756</v>
      </c>
      <c r="F48" s="83">
        <f t="shared" si="3"/>
        <v>-2.2458767030958393E-2</v>
      </c>
      <c r="G48">
        <f t="shared" si="4"/>
        <v>0.70742920670977305</v>
      </c>
      <c r="H48" s="79">
        <f t="shared" si="5"/>
        <v>4.5577072612690284E-4</v>
      </c>
      <c r="I48">
        <f t="shared" si="6"/>
        <v>0.70710321482284566</v>
      </c>
      <c r="J48" s="79">
        <f t="shared" si="7"/>
        <v>-5.0436253535846021E-6</v>
      </c>
    </row>
    <row r="49" spans="2:10">
      <c r="B49" s="7">
        <f t="shared" si="8"/>
        <v>46</v>
      </c>
      <c r="C49" s="7">
        <f t="shared" si="0"/>
        <v>0.80285145591739149</v>
      </c>
      <c r="D49" s="7">
        <f t="shared" si="1"/>
        <v>0.69465837045899737</v>
      </c>
      <c r="E49" s="7">
        <f t="shared" si="2"/>
        <v>0.67771476986566237</v>
      </c>
      <c r="F49" s="80">
        <f t="shared" si="3"/>
        <v>-2.5001079136424353E-2</v>
      </c>
      <c r="G49">
        <f t="shared" si="4"/>
        <v>0.69502606479278617</v>
      </c>
      <c r="H49" s="79">
        <f t="shared" si="5"/>
        <v>5.2903675475601819E-4</v>
      </c>
      <c r="I49">
        <f t="shared" si="6"/>
        <v>0.69465411981481873</v>
      </c>
      <c r="J49" s="79">
        <f t="shared" si="7"/>
        <v>-6.1190800679788993E-6</v>
      </c>
    </row>
    <row r="50" spans="2:10">
      <c r="B50" s="7">
        <f t="shared" si="8"/>
        <v>47</v>
      </c>
      <c r="C50" s="7">
        <f t="shared" si="0"/>
        <v>0.82030474843733492</v>
      </c>
      <c r="D50" s="7">
        <f t="shared" si="1"/>
        <v>0.68199836006249848</v>
      </c>
      <c r="E50" s="7">
        <f t="shared" si="2"/>
        <v>0.66355005984558035</v>
      </c>
      <c r="F50" s="80">
        <f t="shared" si="3"/>
        <v>-2.7802424162558736E-2</v>
      </c>
      <c r="G50">
        <f t="shared" si="4"/>
        <v>0.68241648688389911</v>
      </c>
      <c r="H50" s="79">
        <f t="shared" si="5"/>
        <v>6.1271500533333079E-4</v>
      </c>
      <c r="I50">
        <f t="shared" si="6"/>
        <v>0.6819933130007011</v>
      </c>
      <c r="J50" s="79">
        <f t="shared" si="7"/>
        <v>-7.40045642855236E-6</v>
      </c>
    </row>
    <row r="51" spans="2:10">
      <c r="B51" s="7">
        <f t="shared" si="8"/>
        <v>48</v>
      </c>
      <c r="C51" s="7">
        <f t="shared" si="0"/>
        <v>0.83775804095727813</v>
      </c>
      <c r="D51" s="7">
        <f t="shared" si="1"/>
        <v>0.66913060635885824</v>
      </c>
      <c r="E51" s="7">
        <f t="shared" si="2"/>
        <v>0.64908073240571174</v>
      </c>
      <c r="F51" s="80">
        <f t="shared" si="3"/>
        <v>-3.0889645851656988E-2</v>
      </c>
      <c r="G51">
        <f t="shared" si="4"/>
        <v>0.66960478780053034</v>
      </c>
      <c r="H51" s="79">
        <f t="shared" si="5"/>
        <v>7.0815121144762738E-4</v>
      </c>
      <c r="I51">
        <f t="shared" si="6"/>
        <v>0.66912463536804934</v>
      </c>
      <c r="J51" s="79">
        <f t="shared" si="7"/>
        <v>-8.9235853730773584E-6</v>
      </c>
    </row>
    <row r="52" spans="2:10">
      <c r="B52" s="7">
        <f t="shared" si="8"/>
        <v>49</v>
      </c>
      <c r="C52" s="7">
        <f t="shared" si="0"/>
        <v>0.85521133347722134</v>
      </c>
      <c r="D52" s="7">
        <f t="shared" si="1"/>
        <v>0.65605902899050739</v>
      </c>
      <c r="E52" s="7">
        <f t="shared" si="2"/>
        <v>0.63430678754605641</v>
      </c>
      <c r="F52" s="80">
        <f t="shared" si="3"/>
        <v>-3.4292935014307302E-2</v>
      </c>
      <c r="G52">
        <f t="shared" si="4"/>
        <v>0.65659537515187061</v>
      </c>
      <c r="H52" s="79">
        <f t="shared" si="5"/>
        <v>8.1685948707632683E-4</v>
      </c>
      <c r="I52">
        <f t="shared" si="6"/>
        <v>0.65605198947169518</v>
      </c>
      <c r="J52" s="79">
        <f t="shared" si="7"/>
        <v>-1.0730123412683312E-5</v>
      </c>
    </row>
    <row r="53" spans="2:10">
      <c r="B53" s="7">
        <f t="shared" si="8"/>
        <v>50</v>
      </c>
      <c r="C53" s="7">
        <f t="shared" si="0"/>
        <v>0.87266462599716477</v>
      </c>
      <c r="D53" s="7">
        <f t="shared" si="1"/>
        <v>0.64278760968653936</v>
      </c>
      <c r="E53" s="7">
        <f t="shared" si="2"/>
        <v>0.61922822526661425</v>
      </c>
      <c r="F53" s="80">
        <f t="shared" si="3"/>
        <v>-3.8046367169037643E-2</v>
      </c>
      <c r="G53">
        <f t="shared" si="4"/>
        <v>0.64339274933888291</v>
      </c>
      <c r="H53" s="79">
        <f t="shared" si="5"/>
        <v>9.4054471854920774E-4</v>
      </c>
      <c r="I53">
        <f t="shared" si="6"/>
        <v>0.64277933809111054</v>
      </c>
      <c r="J53" s="79">
        <f t="shared" si="7"/>
        <v>-1.2868483690420263E-5</v>
      </c>
    </row>
    <row r="54" spans="2:10">
      <c r="B54" s="7">
        <f t="shared" si="8"/>
        <v>51</v>
      </c>
      <c r="C54" s="7">
        <f t="shared" si="0"/>
        <v>0.89011791851710798</v>
      </c>
      <c r="D54" s="7">
        <f t="shared" si="1"/>
        <v>0.6293203910498375</v>
      </c>
      <c r="E54" s="7">
        <f t="shared" si="2"/>
        <v>0.60384504556738561</v>
      </c>
      <c r="F54" s="80">
        <f t="shared" si="3"/>
        <v>-4.2188547657147302E-2</v>
      </c>
      <c r="G54">
        <f t="shared" si="4"/>
        <v>0.6300015035543034</v>
      </c>
      <c r="H54" s="79">
        <f t="shared" si="5"/>
        <v>1.081128379255003E-3</v>
      </c>
      <c r="I54">
        <f t="shared" si="6"/>
        <v>0.6293107028595083</v>
      </c>
      <c r="J54" s="79">
        <f t="shared" si="7"/>
        <v>-1.5394923819300743E-5</v>
      </c>
    </row>
    <row r="55" spans="2:10">
      <c r="B55" s="7">
        <f t="shared" si="8"/>
        <v>52</v>
      </c>
      <c r="C55" s="7">
        <f t="shared" si="0"/>
        <v>0.9075712110370513</v>
      </c>
      <c r="D55" s="7">
        <f t="shared" si="1"/>
        <v>0.61566147532565829</v>
      </c>
      <c r="E55" s="7">
        <f t="shared" si="2"/>
        <v>0.58815724844837003</v>
      </c>
      <c r="F55" s="80">
        <f t="shared" si="3"/>
        <v>-4.676339014752906E-2</v>
      </c>
      <c r="G55">
        <f t="shared" si="4"/>
        <v>0.61642632378263962</v>
      </c>
      <c r="H55" s="79">
        <f t="shared" si="5"/>
        <v>1.2407783825452157E-3</v>
      </c>
      <c r="I55">
        <f t="shared" si="6"/>
        <v>0.61565016286467389</v>
      </c>
      <c r="J55" s="79">
        <f t="shared" si="7"/>
        <v>-1.8374820095479194E-5</v>
      </c>
    </row>
    <row r="56" spans="2:10">
      <c r="B56" s="7">
        <f t="shared" si="8"/>
        <v>53</v>
      </c>
      <c r="C56" s="7">
        <f t="shared" si="0"/>
        <v>0.92502450355699462</v>
      </c>
      <c r="D56" s="7">
        <f t="shared" si="1"/>
        <v>0.60181502315204838</v>
      </c>
      <c r="E56" s="7">
        <f t="shared" si="2"/>
        <v>0.57216483390956785</v>
      </c>
      <c r="F56" s="80">
        <f t="shared" si="3"/>
        <v>-5.1821061843110083E-2</v>
      </c>
      <c r="G56">
        <f t="shared" si="4"/>
        <v>0.60267198880017248</v>
      </c>
      <c r="H56" s="79">
        <f t="shared" si="5"/>
        <v>1.4219437173945693E-3</v>
      </c>
      <c r="I56">
        <f t="shared" si="6"/>
        <v>0.60180185322153457</v>
      </c>
      <c r="J56" s="79">
        <f t="shared" si="7"/>
        <v>-2.1884164103758152E-5</v>
      </c>
    </row>
    <row r="57" spans="2:10">
      <c r="B57" s="7">
        <f t="shared" si="8"/>
        <v>54</v>
      </c>
      <c r="C57" s="7">
        <f t="shared" si="0"/>
        <v>0.94247779607693793</v>
      </c>
      <c r="D57" s="7">
        <f t="shared" si="1"/>
        <v>0.58778525229247314</v>
      </c>
      <c r="E57" s="7">
        <f t="shared" si="2"/>
        <v>0.55586780195097885</v>
      </c>
      <c r="F57" s="80">
        <f t="shared" si="3"/>
        <v>-5.741913856041081E-2</v>
      </c>
      <c r="G57">
        <f t="shared" si="4"/>
        <v>0.58874337017495471</v>
      </c>
      <c r="H57" s="79">
        <f t="shared" si="5"/>
        <v>1.6273947716759496E-3</v>
      </c>
      <c r="I57">
        <f t="shared" si="6"/>
        <v>0.58776996361645972</v>
      </c>
      <c r="J57" s="79">
        <f t="shared" si="7"/>
        <v>-2.6011325790387119E-5</v>
      </c>
    </row>
    <row r="58" spans="2:10">
      <c r="B58" s="7">
        <f t="shared" si="8"/>
        <v>55</v>
      </c>
      <c r="C58" s="7">
        <f t="shared" si="0"/>
        <v>0.95993108859688125</v>
      </c>
      <c r="D58" s="7">
        <f t="shared" si="1"/>
        <v>0.57357643635104616</v>
      </c>
      <c r="E58" s="7">
        <f t="shared" si="2"/>
        <v>0.53926615257260324</v>
      </c>
      <c r="F58" s="80">
        <f t="shared" si="3"/>
        <v>-6.362402612284046E-2</v>
      </c>
      <c r="G58">
        <f t="shared" si="4"/>
        <v>0.57464543226681186</v>
      </c>
      <c r="H58" s="79">
        <f t="shared" si="5"/>
        <v>1.8602704480723542E-3</v>
      </c>
      <c r="I58">
        <f t="shared" si="6"/>
        <v>0.57355873682329706</v>
      </c>
      <c r="J58" s="79">
        <f t="shared" si="7"/>
        <v>-3.0859137195138331E-5</v>
      </c>
    </row>
    <row r="59" spans="2:10">
      <c r="B59" s="7">
        <f t="shared" si="8"/>
        <v>56</v>
      </c>
      <c r="C59" s="7">
        <f t="shared" si="0"/>
        <v>0.97738438111682457</v>
      </c>
      <c r="D59" s="7">
        <f t="shared" si="1"/>
        <v>0.55919290347074679</v>
      </c>
      <c r="E59" s="7">
        <f t="shared" si="2"/>
        <v>0.52235988577444092</v>
      </c>
      <c r="F59" s="80">
        <f t="shared" si="3"/>
        <v>-7.0512722548933704E-2</v>
      </c>
      <c r="G59">
        <f t="shared" si="4"/>
        <v>0.56038323222734177</v>
      </c>
      <c r="H59" s="79">
        <f t="shared" si="5"/>
        <v>2.1241334289461289E-3</v>
      </c>
      <c r="I59">
        <f t="shared" si="6"/>
        <v>0.55917246719114166</v>
      </c>
      <c r="J59" s="79">
        <f t="shared" si="7"/>
        <v>-3.6547363835293112E-5</v>
      </c>
    </row>
    <row r="60" spans="2:10">
      <c r="B60" s="7">
        <f t="shared" si="8"/>
        <v>57</v>
      </c>
      <c r="C60" s="7">
        <f t="shared" si="0"/>
        <v>0.99483767363676778</v>
      </c>
      <c r="D60" s="7">
        <f t="shared" si="1"/>
        <v>0.5446390350150272</v>
      </c>
      <c r="E60" s="7">
        <f t="shared" si="2"/>
        <v>0.50514900155649189</v>
      </c>
      <c r="F60" s="80">
        <f t="shared" si="3"/>
        <v>-7.8175020314514176E-2</v>
      </c>
      <c r="G60">
        <f t="shared" si="4"/>
        <v>0.54596191999991472</v>
      </c>
      <c r="H60" s="79">
        <f t="shared" si="5"/>
        <v>2.4230352638655583E-3</v>
      </c>
      <c r="I60">
        <f t="shared" si="6"/>
        <v>0.54461549910384</v>
      </c>
      <c r="J60" s="79">
        <f t="shared" si="7"/>
        <v>-4.321564705001002E-5</v>
      </c>
    </row>
    <row r="61" spans="2:10">
      <c r="B61" s="7">
        <f t="shared" si="8"/>
        <v>58</v>
      </c>
      <c r="C61" s="7">
        <f t="shared" si="0"/>
        <v>1.0122909661567112</v>
      </c>
      <c r="D61" s="7">
        <f t="shared" si="1"/>
        <v>0.5299192642332049</v>
      </c>
      <c r="E61" s="7">
        <f t="shared" si="2"/>
        <v>0.48763349991875604</v>
      </c>
      <c r="F61" s="80">
        <f t="shared" si="3"/>
        <v>-8.6716282456996918E-2</v>
      </c>
      <c r="G61">
        <f t="shared" si="4"/>
        <v>0.53138673831967331</v>
      </c>
      <c r="H61" s="79">
        <f t="shared" si="5"/>
        <v>2.7615933568624351E-3</v>
      </c>
      <c r="I61">
        <f t="shared" si="6"/>
        <v>0.52989222541122671</v>
      </c>
      <c r="J61" s="79">
        <f t="shared" si="7"/>
        <v>-5.1027021499061576E-5</v>
      </c>
    </row>
    <row r="62" spans="2:10">
      <c r="B62" s="7">
        <f t="shared" si="8"/>
        <v>59</v>
      </c>
      <c r="C62" s="7">
        <f t="shared" si="0"/>
        <v>1.0297442586766543</v>
      </c>
      <c r="D62" s="7">
        <f t="shared" si="1"/>
        <v>0.51503807491005438</v>
      </c>
      <c r="E62" s="7">
        <f t="shared" si="2"/>
        <v>0.46981338086123381</v>
      </c>
      <c r="F62" s="80">
        <f t="shared" si="3"/>
        <v>-9.6260974870314264E-2</v>
      </c>
      <c r="G62">
        <f t="shared" si="4"/>
        <v>0.51666302271353304</v>
      </c>
      <c r="H62" s="79">
        <f t="shared" si="5"/>
        <v>3.1450824464742677E-3</v>
      </c>
      <c r="I62">
        <f t="shared" si="6"/>
        <v>0.51500708583209753</v>
      </c>
      <c r="J62" s="79">
        <f t="shared" si="7"/>
        <v>-6.0172139004111003E-5</v>
      </c>
    </row>
    <row r="63" spans="2:10">
      <c r="B63" s="7">
        <f t="shared" si="8"/>
        <v>60</v>
      </c>
      <c r="C63" s="7">
        <f t="shared" si="0"/>
        <v>1.0471975511965976</v>
      </c>
      <c r="D63" s="7">
        <f t="shared" si="1"/>
        <v>0.50000000000000011</v>
      </c>
      <c r="E63" s="7">
        <f t="shared" si="2"/>
        <v>0.45168864438392464</v>
      </c>
      <c r="F63" s="80">
        <f t="shared" si="3"/>
        <v>-0.10695720651106733</v>
      </c>
      <c r="G63">
        <f t="shared" si="4"/>
        <v>0.501796201500181</v>
      </c>
      <c r="H63" s="79">
        <f t="shared" si="5"/>
        <v>3.5795438363441789E-3</v>
      </c>
      <c r="I63">
        <f t="shared" si="6"/>
        <v>0.4999645653289127</v>
      </c>
      <c r="J63" s="79">
        <f t="shared" si="7"/>
        <v>-7.0874364994422123E-5</v>
      </c>
    </row>
    <row r="64" spans="2:10">
      <c r="B64" s="7">
        <f t="shared" si="8"/>
        <v>61</v>
      </c>
      <c r="C64" s="7">
        <f t="shared" si="0"/>
        <v>1.064650843716541</v>
      </c>
      <c r="D64" s="7">
        <f t="shared" si="1"/>
        <v>0.48480962024633711</v>
      </c>
      <c r="E64" s="7">
        <f t="shared" si="2"/>
        <v>0.43325929048682876</v>
      </c>
      <c r="F64" s="80">
        <f t="shared" si="3"/>
        <v>-0.11898262978177376</v>
      </c>
      <c r="G64">
        <f t="shared" si="4"/>
        <v>0.48679179579007753</v>
      </c>
      <c r="H64" s="79">
        <f t="shared" si="5"/>
        <v>4.0719164967094601E-3</v>
      </c>
      <c r="I64">
        <f t="shared" si="6"/>
        <v>0.48476919245423883</v>
      </c>
      <c r="J64" s="79">
        <f t="shared" si="7"/>
        <v>-8.3395959824983379E-5</v>
      </c>
    </row>
    <row r="65" spans="2:10">
      <c r="B65" s="7">
        <f t="shared" si="8"/>
        <v>62</v>
      </c>
      <c r="C65" s="7">
        <f t="shared" si="0"/>
        <v>1.0821041362364843</v>
      </c>
      <c r="D65" s="7">
        <f t="shared" si="1"/>
        <v>0.46947156278589086</v>
      </c>
      <c r="E65" s="7">
        <f t="shared" si="2"/>
        <v>0.41452531916994617</v>
      </c>
      <c r="F65" s="80">
        <f t="shared" si="3"/>
        <v>-0.13255220145773028</v>
      </c>
      <c r="G65">
        <f t="shared" si="4"/>
        <v>0.47165541948545509</v>
      </c>
      <c r="H65" s="79">
        <f t="shared" si="5"/>
        <v>4.6301952852501049E-3</v>
      </c>
      <c r="I65">
        <f t="shared" si="6"/>
        <v>0.46942553766892098</v>
      </c>
      <c r="J65" s="79">
        <f t="shared" si="7"/>
        <v>-9.8045618051489924E-5</v>
      </c>
    </row>
    <row r="66" spans="2:10">
      <c r="B66" s="7">
        <f t="shared" si="8"/>
        <v>63</v>
      </c>
      <c r="C66" s="7">
        <f t="shared" si="0"/>
        <v>1.0995574287564276</v>
      </c>
      <c r="D66" s="7">
        <f t="shared" si="1"/>
        <v>0.4539904997395468</v>
      </c>
      <c r="E66" s="7">
        <f t="shared" si="2"/>
        <v>0.39548673043327687</v>
      </c>
      <c r="F66" s="80">
        <f t="shared" si="3"/>
        <v>-0.14792852655808697</v>
      </c>
      <c r="G66">
        <f t="shared" si="4"/>
        <v>0.45639277928031846</v>
      </c>
      <c r="H66" s="79">
        <f t="shared" si="5"/>
        <v>5.2636230234838211E-3</v>
      </c>
      <c r="I66">
        <f t="shared" si="6"/>
        <v>0.45393821163199077</v>
      </c>
      <c r="J66" s="79">
        <f t="shared" si="7"/>
        <v>-1.1518771986174237E-4</v>
      </c>
    </row>
    <row r="67" spans="2:10">
      <c r="B67" s="7">
        <f t="shared" si="8"/>
        <v>64</v>
      </c>
      <c r="C67" s="7">
        <f t="shared" si="0"/>
        <v>1.1170107212763709</v>
      </c>
      <c r="D67" s="7">
        <f t="shared" si="1"/>
        <v>0.43837114678907746</v>
      </c>
      <c r="E67" s="7">
        <f t="shared" si="2"/>
        <v>0.37614352427682085</v>
      </c>
      <c r="F67" s="80">
        <f t="shared" si="3"/>
        <v>-0.16543584694671098</v>
      </c>
      <c r="G67">
        <f t="shared" si="4"/>
        <v>0.44100967466044511</v>
      </c>
      <c r="H67" s="79">
        <f t="shared" si="5"/>
        <v>5.9829251442140574E-3</v>
      </c>
      <c r="I67">
        <f t="shared" si="6"/>
        <v>0.43831186346230794</v>
      </c>
      <c r="J67" s="79">
        <f t="shared" si="7"/>
        <v>-1.3525375813738805E-4</v>
      </c>
    </row>
    <row r="68" spans="2:10">
      <c r="B68" s="7">
        <f t="shared" si="8"/>
        <v>65</v>
      </c>
      <c r="C68" s="7">
        <f t="shared" ref="C68:C93" si="9">B68/180*PI()</f>
        <v>1.1344640137963142</v>
      </c>
      <c r="D68" s="7">
        <f t="shared" ref="D68:D93" si="10">COS(C68)</f>
        <v>0.42261826174069944</v>
      </c>
      <c r="E68" s="7">
        <f t="shared" ref="E68:E93" si="11">1-C68^2/2</f>
        <v>0.35649570070057812</v>
      </c>
      <c r="F68" s="80">
        <f t="shared" ref="F68:F93" si="12">1-D68/E68</f>
        <v>-0.18547926639838463</v>
      </c>
      <c r="G68">
        <f t="shared" ref="G68:G93" si="13">1-C68^2/2+C68^4/24</f>
        <v>0.42551199790338479</v>
      </c>
      <c r="H68" s="79">
        <f t="shared" ref="H68:H93" si="14">1-D68/G68</f>
        <v>6.800598283817072E-3</v>
      </c>
      <c r="I68">
        <f t="shared" ref="I68:I93" si="15">1-C68^2/2+C68^4/24-C68^6/720</f>
        <v>0.42255117897193595</v>
      </c>
      <c r="J68" s="79">
        <f t="shared" ref="J68:J93" si="16">1-D68/I68</f>
        <v>-1.5875655329300464E-4</v>
      </c>
    </row>
    <row r="69" spans="2:10">
      <c r="B69" s="7">
        <f t="shared" ref="B69:B93" si="17">B68+1</f>
        <v>66</v>
      </c>
      <c r="C69" s="7">
        <f t="shared" si="9"/>
        <v>1.1519173063162573</v>
      </c>
      <c r="D69" s="7">
        <f t="shared" si="10"/>
        <v>0.40673664307580037</v>
      </c>
      <c r="E69" s="7">
        <f t="shared" si="11"/>
        <v>0.3365432597045489</v>
      </c>
      <c r="F69" s="80">
        <f t="shared" si="12"/>
        <v>-0.20857165118348875</v>
      </c>
      <c r="G69">
        <f t="shared" si="13"/>
        <v>0.40990573407845987</v>
      </c>
      <c r="H69" s="79">
        <f t="shared" si="14"/>
        <v>7.731267799373831E-3</v>
      </c>
      <c r="I69">
        <f t="shared" si="15"/>
        <v>0.40666087887125163</v>
      </c>
      <c r="J69" s="79">
        <f t="shared" si="16"/>
        <v>-1.8630807261077464E-4</v>
      </c>
    </row>
    <row r="70" spans="2:10">
      <c r="B70" s="7">
        <f t="shared" si="17"/>
        <v>67</v>
      </c>
      <c r="C70" s="7">
        <f t="shared" si="9"/>
        <v>1.1693705988362009</v>
      </c>
      <c r="D70" s="7">
        <f t="shared" si="10"/>
        <v>0.39073112848927372</v>
      </c>
      <c r="E70" s="7">
        <f t="shared" si="11"/>
        <v>0.31628620128873253</v>
      </c>
      <c r="F70" s="80">
        <f t="shared" si="12"/>
        <v>-0.23537203614071567</v>
      </c>
      <c r="G70">
        <f t="shared" si="13"/>
        <v>0.39419696104676444</v>
      </c>
      <c r="H70" s="79">
        <f t="shared" si="14"/>
        <v>8.7921341359087357E-3</v>
      </c>
      <c r="I70">
        <f t="shared" si="15"/>
        <v>0.39064571694578809</v>
      </c>
      <c r="J70" s="79">
        <f t="shared" si="16"/>
        <v>-2.1864195556364763E-4</v>
      </c>
    </row>
    <row r="71" spans="2:10">
      <c r="B71" s="7">
        <f t="shared" si="17"/>
        <v>68</v>
      </c>
      <c r="C71" s="7">
        <f t="shared" si="9"/>
        <v>1.186823891356144</v>
      </c>
      <c r="D71" s="7">
        <f t="shared" si="10"/>
        <v>0.37460659341591218</v>
      </c>
      <c r="E71" s="7">
        <f t="shared" si="11"/>
        <v>0.29572452545312988</v>
      </c>
      <c r="F71" s="80">
        <f t="shared" si="12"/>
        <v>-0.26674171796172019</v>
      </c>
      <c r="G71">
        <f t="shared" si="13"/>
        <v>0.37839184946116639</v>
      </c>
      <c r="H71" s="79">
        <f t="shared" si="14"/>
        <v>1.0003534829422067E-2</v>
      </c>
      <c r="I71">
        <f t="shared" si="15"/>
        <v>0.37451047820481442</v>
      </c>
      <c r="J71" s="79">
        <f t="shared" si="16"/>
        <v>-2.5664224819155201E-4</v>
      </c>
    </row>
    <row r="72" spans="2:10">
      <c r="B72" s="7">
        <f t="shared" si="17"/>
        <v>69</v>
      </c>
      <c r="C72" s="7">
        <f t="shared" si="9"/>
        <v>1.2042771838760875</v>
      </c>
      <c r="D72" s="7">
        <f t="shared" si="10"/>
        <v>0.35836794954530016</v>
      </c>
      <c r="E72" s="7">
        <f t="shared" si="11"/>
        <v>0.27485823219774008</v>
      </c>
      <c r="F72" s="80">
        <f t="shared" si="12"/>
        <v>-0.30382832880727051</v>
      </c>
      <c r="G72">
        <f t="shared" si="13"/>
        <v>0.36249666276630454</v>
      </c>
      <c r="H72" s="79">
        <f t="shared" si="14"/>
        <v>1.1389658568156547E-2</v>
      </c>
      <c r="I72">
        <f t="shared" si="15"/>
        <v>0.35825997700164425</v>
      </c>
      <c r="J72" s="79">
        <f t="shared" si="16"/>
        <v>-3.0138042367888751E-4</v>
      </c>
    </row>
    <row r="73" spans="2:10">
      <c r="B73" s="7">
        <f t="shared" si="17"/>
        <v>70</v>
      </c>
      <c r="C73" s="7">
        <f t="shared" si="9"/>
        <v>1.2217304763960306</v>
      </c>
      <c r="D73" s="7">
        <f t="shared" si="10"/>
        <v>0.34202014332566882</v>
      </c>
      <c r="E73" s="7">
        <f t="shared" si="11"/>
        <v>0.25368732152256401</v>
      </c>
      <c r="F73" s="80">
        <f t="shared" si="12"/>
        <v>-0.34819564995583785</v>
      </c>
      <c r="G73">
        <f t="shared" si="13"/>
        <v>0.34651775719859146</v>
      </c>
      <c r="H73" s="79">
        <f t="shared" si="14"/>
        <v>1.2979461454683872E-2</v>
      </c>
      <c r="I73">
        <f t="shared" si="15"/>
        <v>0.34189905512568458</v>
      </c>
      <c r="J73" s="79">
        <f t="shared" si="16"/>
        <v>-3.5416359936912833E-4</v>
      </c>
    </row>
    <row r="74" spans="2:10">
      <c r="B74" s="7">
        <f t="shared" si="17"/>
        <v>71</v>
      </c>
      <c r="C74" s="7">
        <f t="shared" si="9"/>
        <v>1.2391837689159739</v>
      </c>
      <c r="D74" s="7">
        <f t="shared" si="10"/>
        <v>0.32556815445715676</v>
      </c>
      <c r="E74" s="7">
        <f t="shared" si="11"/>
        <v>0.23221179342760112</v>
      </c>
      <c r="F74" s="80">
        <f t="shared" si="12"/>
        <v>-0.40203109261400294</v>
      </c>
      <c r="G74">
        <f t="shared" si="13"/>
        <v>0.33046158178621121</v>
      </c>
      <c r="H74" s="79">
        <f t="shared" si="14"/>
        <v>1.4807855432406036E-2</v>
      </c>
      <c r="I74">
        <f t="shared" si="15"/>
        <v>0.32543257986621288</v>
      </c>
      <c r="J74" s="79">
        <f t="shared" si="16"/>
        <v>-4.1659808922522856E-4</v>
      </c>
    </row>
    <row r="75" spans="2:10">
      <c r="B75" s="7">
        <f t="shared" si="17"/>
        <v>72</v>
      </c>
      <c r="C75" s="7">
        <f t="shared" si="9"/>
        <v>1.2566370614359172</v>
      </c>
      <c r="D75" s="7">
        <f t="shared" si="10"/>
        <v>0.30901699437494745</v>
      </c>
      <c r="E75" s="7">
        <f t="shared" si="11"/>
        <v>0.21043164791285141</v>
      </c>
      <c r="F75" s="80">
        <f t="shared" si="12"/>
        <v>-0.46849106320226319</v>
      </c>
      <c r="G75">
        <f t="shared" si="13"/>
        <v>0.31433467834912066</v>
      </c>
      <c r="H75" s="79">
        <f t="shared" si="14"/>
        <v>1.6917267932706537E-2</v>
      </c>
      <c r="I75">
        <f t="shared" si="15"/>
        <v>0.30886544204789224</v>
      </c>
      <c r="J75" s="79">
        <f t="shared" si="16"/>
        <v>-4.9067427566629185E-4</v>
      </c>
    </row>
    <row r="76" spans="2:10">
      <c r="B76" s="7">
        <f t="shared" si="17"/>
        <v>73</v>
      </c>
      <c r="C76" s="7">
        <f t="shared" si="9"/>
        <v>1.2740903539558606</v>
      </c>
      <c r="D76" s="7">
        <f t="shared" si="10"/>
        <v>0.29237170472273677</v>
      </c>
      <c r="E76" s="7">
        <f t="shared" si="11"/>
        <v>0.18834688497831498</v>
      </c>
      <c r="F76" s="80">
        <f t="shared" si="12"/>
        <v>-0.55230443421667696</v>
      </c>
      <c r="G76">
        <f t="shared" si="13"/>
        <v>0.29814368149904907</v>
      </c>
      <c r="H76" s="79">
        <f t="shared" si="14"/>
        <v>1.9359715246323961E-2</v>
      </c>
      <c r="I76">
        <f t="shared" si="15"/>
        <v>0.2922025540380187</v>
      </c>
      <c r="J76" s="79">
        <f t="shared" si="16"/>
        <v>-5.7888160928287746E-4</v>
      </c>
    </row>
    <row r="77" spans="2:10">
      <c r="B77" s="7">
        <f t="shared" si="17"/>
        <v>74</v>
      </c>
      <c r="C77" s="7">
        <f t="shared" si="9"/>
        <v>1.2915436464758039</v>
      </c>
      <c r="D77" s="7">
        <f t="shared" si="10"/>
        <v>0.27563735581699916</v>
      </c>
      <c r="E77" s="7">
        <f t="shared" si="11"/>
        <v>0.16595750462399184</v>
      </c>
      <c r="F77" s="80">
        <f t="shared" si="12"/>
        <v>-0.66089118079660092</v>
      </c>
      <c r="G77">
        <f t="shared" si="13"/>
        <v>0.28189531863949829</v>
      </c>
      <c r="H77" s="79">
        <f t="shared" si="14"/>
        <v>2.2199598250519759E-2</v>
      </c>
      <c r="I77">
        <f t="shared" si="15"/>
        <v>0.27544884772550277</v>
      </c>
      <c r="J77" s="79">
        <f t="shared" si="16"/>
        <v>-6.8436696342355496E-4</v>
      </c>
    </row>
    <row r="78" spans="2:10">
      <c r="B78" s="7">
        <f t="shared" si="17"/>
        <v>75</v>
      </c>
      <c r="C78" s="7">
        <f t="shared" si="9"/>
        <v>1.3089969389957472</v>
      </c>
      <c r="D78" s="7">
        <f t="shared" si="10"/>
        <v>0.25881904510252074</v>
      </c>
      <c r="E78" s="7">
        <f t="shared" si="11"/>
        <v>0.14326350684988198</v>
      </c>
      <c r="F78" s="80">
        <f t="shared" si="12"/>
        <v>-0.80659437140348023</v>
      </c>
      <c r="G78">
        <f t="shared" si="13"/>
        <v>0.26559640996574235</v>
      </c>
      <c r="H78" s="79">
        <f t="shared" si="14"/>
        <v>2.5517531897723211E-2</v>
      </c>
      <c r="I78">
        <f t="shared" si="15"/>
        <v>0.25860927247158533</v>
      </c>
      <c r="J78" s="79">
        <f t="shared" si="16"/>
        <v>-8.1115664929787279E-4</v>
      </c>
    </row>
    <row r="79" spans="2:10">
      <c r="B79" s="7">
        <f t="shared" si="17"/>
        <v>76</v>
      </c>
      <c r="C79" s="7">
        <f t="shared" si="9"/>
        <v>1.3264502315156905</v>
      </c>
      <c r="D79" s="7">
        <f t="shared" si="10"/>
        <v>0.24192189559966767</v>
      </c>
      <c r="E79" s="7">
        <f t="shared" si="11"/>
        <v>0.12026489165598553</v>
      </c>
      <c r="F79" s="80">
        <f t="shared" si="12"/>
        <v>-1.0115753838757757</v>
      </c>
      <c r="G79">
        <f t="shared" si="13"/>
        <v>0.24925386846482803</v>
      </c>
      <c r="H79" s="79">
        <f t="shared" si="14"/>
        <v>2.941568333650546E-2</v>
      </c>
      <c r="I79">
        <f t="shared" si="15"/>
        <v>0.24168879303228732</v>
      </c>
      <c r="J79" s="79">
        <f t="shared" si="16"/>
        <v>-9.6447404306920781E-4</v>
      </c>
    </row>
    <row r="80" spans="2:10">
      <c r="B80" s="7">
        <f t="shared" si="17"/>
        <v>77</v>
      </c>
      <c r="C80" s="7">
        <f t="shared" si="9"/>
        <v>1.3439035240356336</v>
      </c>
      <c r="D80" s="7">
        <f t="shared" si="10"/>
        <v>0.22495105434386514</v>
      </c>
      <c r="E80" s="7">
        <f t="shared" si="11"/>
        <v>9.6961659042302584E-2</v>
      </c>
      <c r="F80" s="80">
        <f t="shared" si="12"/>
        <v>-1.3200000553386069</v>
      </c>
      <c r="G80">
        <f t="shared" si="13"/>
        <v>0.23287469991557433</v>
      </c>
      <c r="H80" s="79">
        <f t="shared" si="14"/>
        <v>3.4025360309994146E-2</v>
      </c>
      <c r="I80">
        <f t="shared" si="15"/>
        <v>0.22469238745259332</v>
      </c>
      <c r="J80" s="79">
        <f t="shared" si="16"/>
        <v>-1.1512045165589235E-3</v>
      </c>
    </row>
    <row r="81" spans="2:10">
      <c r="B81" s="7">
        <f t="shared" si="17"/>
        <v>78</v>
      </c>
      <c r="C81" s="7">
        <f t="shared" si="9"/>
        <v>1.3613568165555772</v>
      </c>
      <c r="D81" s="7">
        <f t="shared" si="10"/>
        <v>0.20791169081775923</v>
      </c>
      <c r="E81" s="7">
        <f t="shared" si="11"/>
        <v>7.335380900883226E-2</v>
      </c>
      <c r="F81" s="80">
        <f t="shared" si="12"/>
        <v>-1.8343680256975525</v>
      </c>
      <c r="G81">
        <f t="shared" si="13"/>
        <v>0.21646600288857221</v>
      </c>
      <c r="H81" s="79">
        <f t="shared" si="14"/>
        <v>3.9518039584333198E-2</v>
      </c>
      <c r="I81">
        <f t="shared" si="15"/>
        <v>0.20762504493236883</v>
      </c>
      <c r="J81" s="79">
        <f t="shared" si="16"/>
        <v>-1.3805939716173832E-3</v>
      </c>
    </row>
    <row r="82" spans="2:10">
      <c r="B82" s="7">
        <f t="shared" si="17"/>
        <v>79</v>
      </c>
      <c r="C82" s="7">
        <f t="shared" si="9"/>
        <v>1.3788101090755203</v>
      </c>
      <c r="D82" s="7">
        <f t="shared" si="10"/>
        <v>0.19080899537654492</v>
      </c>
      <c r="E82" s="7">
        <f t="shared" si="11"/>
        <v>4.9441341555576002E-2</v>
      </c>
      <c r="F82" s="80">
        <f t="shared" si="12"/>
        <v>-2.8593005240778191</v>
      </c>
      <c r="G82">
        <f t="shared" si="13"/>
        <v>0.20003496874618651</v>
      </c>
      <c r="H82" s="79">
        <f t="shared" si="14"/>
        <v>4.612180274013955E-2</v>
      </c>
      <c r="I82">
        <f t="shared" si="15"/>
        <v>0.19049176366401407</v>
      </c>
      <c r="J82" s="79">
        <f t="shared" si="16"/>
        <v>-1.665330334650994E-3</v>
      </c>
    </row>
    <row r="83" spans="2:10">
      <c r="B83" s="7">
        <f t="shared" si="17"/>
        <v>80</v>
      </c>
      <c r="C83" s="7">
        <f t="shared" si="9"/>
        <v>1.3962634015954636</v>
      </c>
      <c r="D83" s="7">
        <f t="shared" si="10"/>
        <v>0.17364817766693041</v>
      </c>
      <c r="E83" s="7">
        <f t="shared" si="11"/>
        <v>2.5224256682532586E-2</v>
      </c>
      <c r="F83" s="80">
        <f t="shared" si="12"/>
        <v>-5.8841742237415122</v>
      </c>
      <c r="G83">
        <f t="shared" si="13"/>
        <v>0.18358888164255277</v>
      </c>
      <c r="H83" s="79">
        <f t="shared" si="14"/>
        <v>5.4146546820721397E-2</v>
      </c>
      <c r="I83">
        <f t="shared" si="15"/>
        <v>0.17329754864184641</v>
      </c>
      <c r="J83" s="79">
        <f t="shared" si="16"/>
        <v>-2.0232774660227104E-3</v>
      </c>
    </row>
    <row r="84" spans="2:10">
      <c r="B84" s="7">
        <f t="shared" si="17"/>
        <v>81</v>
      </c>
      <c r="C84" s="7">
        <f t="shared" si="9"/>
        <v>1.4137166941154069</v>
      </c>
      <c r="D84" s="7">
        <f t="shared" si="10"/>
        <v>0.15643446504023092</v>
      </c>
      <c r="E84" s="7">
        <f t="shared" si="11"/>
        <v>7.0255438970256989E-4</v>
      </c>
      <c r="F84" s="80">
        <f t="shared" si="12"/>
        <v>-221.66527308506076</v>
      </c>
      <c r="G84">
        <f t="shared" si="13"/>
        <v>0.16713511852358012</v>
      </c>
      <c r="H84" s="79">
        <f t="shared" si="14"/>
        <v>6.4023968019859989E-2</v>
      </c>
      <c r="I84">
        <f t="shared" si="15"/>
        <v>0.15604740944322307</v>
      </c>
      <c r="J84" s="79">
        <f t="shared" si="16"/>
        <v>-2.4803718202619507E-3</v>
      </c>
    </row>
    <row r="85" spans="2:10">
      <c r="B85" s="7">
        <f t="shared" si="17"/>
        <v>82</v>
      </c>
      <c r="C85" s="7">
        <f t="shared" si="9"/>
        <v>1.4311699866353502</v>
      </c>
      <c r="D85" s="7">
        <f t="shared" si="10"/>
        <v>0.13917310096006547</v>
      </c>
      <c r="E85" s="7">
        <f t="shared" si="11"/>
        <v>-2.412376532291427E-2</v>
      </c>
      <c r="F85" s="80">
        <f t="shared" si="12"/>
        <v>6.7691284547470749</v>
      </c>
      <c r="G85">
        <f t="shared" si="13"/>
        <v>0.15068114912694966</v>
      </c>
      <c r="H85" s="79">
        <f t="shared" si="14"/>
        <v>7.6373509450665233E-2</v>
      </c>
      <c r="I85">
        <f t="shared" si="15"/>
        <v>0.13874635798139334</v>
      </c>
      <c r="J85" s="79">
        <f t="shared" si="16"/>
        <v>-3.0757058050443487E-3</v>
      </c>
    </row>
    <row r="86" spans="2:10">
      <c r="B86" s="7">
        <f t="shared" si="17"/>
        <v>83</v>
      </c>
      <c r="C86" s="7">
        <f t="shared" si="9"/>
        <v>1.4486232791552935</v>
      </c>
      <c r="D86" s="7">
        <f t="shared" si="10"/>
        <v>0.12186934340514749</v>
      </c>
      <c r="E86" s="7">
        <f t="shared" si="11"/>
        <v>-4.9254702455317823E-2</v>
      </c>
      <c r="F86" s="80">
        <f t="shared" si="12"/>
        <v>3.4742681882141748</v>
      </c>
      <c r="G86">
        <f t="shared" si="13"/>
        <v>0.1342345359821151</v>
      </c>
      <c r="H86" s="79">
        <f t="shared" si="14"/>
        <v>9.2116328234748024E-2</v>
      </c>
      <c r="I86">
        <f t="shared" si="15"/>
        <v>0.12139940623008699</v>
      </c>
      <c r="J86" s="79">
        <f t="shared" si="16"/>
        <v>-3.8710006058004787E-3</v>
      </c>
    </row>
    <row r="87" spans="2:10">
      <c r="B87" s="7">
        <f t="shared" si="17"/>
        <v>84</v>
      </c>
      <c r="C87" s="7">
        <f t="shared" si="9"/>
        <v>1.4660765716752369</v>
      </c>
      <c r="D87" s="7">
        <f t="shared" si="10"/>
        <v>0.10452846326765346</v>
      </c>
      <c r="E87" s="7">
        <f t="shared" si="11"/>
        <v>-7.4690257007507865E-2</v>
      </c>
      <c r="F87" s="80">
        <f t="shared" si="12"/>
        <v>2.3994926173188325</v>
      </c>
      <c r="G87">
        <f t="shared" si="13"/>
        <v>0.11780293441030268</v>
      </c>
      <c r="H87" s="79">
        <f t="shared" si="14"/>
        <v>0.11268370528373084</v>
      </c>
      <c r="I87">
        <f t="shared" si="15"/>
        <v>0.10401156391983586</v>
      </c>
      <c r="J87" s="79">
        <f t="shared" si="16"/>
        <v>-4.9696334555260346E-3</v>
      </c>
    </row>
    <row r="88" spans="2:10">
      <c r="B88" s="7">
        <f t="shared" si="17"/>
        <v>85</v>
      </c>
      <c r="C88" s="7">
        <f t="shared" si="9"/>
        <v>1.48352986419518</v>
      </c>
      <c r="D88" s="7">
        <f t="shared" si="10"/>
        <v>8.715574274765836E-2</v>
      </c>
      <c r="E88" s="7">
        <f t="shared" si="11"/>
        <v>-0.10043042897948462</v>
      </c>
      <c r="F88" s="80">
        <f t="shared" si="12"/>
        <v>1.8678220697978105</v>
      </c>
      <c r="G88">
        <f t="shared" si="13"/>
        <v>0.10139409252451081</v>
      </c>
      <c r="H88" s="79">
        <f t="shared" si="14"/>
        <v>0.14042583174567591</v>
      </c>
      <c r="I88">
        <f t="shared" si="15"/>
        <v>8.6587836206029417E-2</v>
      </c>
      <c r="J88" s="79">
        <f t="shared" si="16"/>
        <v>-6.5587334955183874E-3</v>
      </c>
    </row>
    <row r="89" spans="2:10">
      <c r="B89" s="7">
        <f t="shared" si="17"/>
        <v>86</v>
      </c>
      <c r="C89" s="7">
        <f t="shared" si="9"/>
        <v>1.5009831567151235</v>
      </c>
      <c r="D89" s="7">
        <f t="shared" si="10"/>
        <v>6.9756473744125233E-2</v>
      </c>
      <c r="E89" s="7">
        <f t="shared" si="11"/>
        <v>-0.12647521837124853</v>
      </c>
      <c r="F89" s="80">
        <f t="shared" si="12"/>
        <v>1.551542623467673</v>
      </c>
      <c r="G89">
        <f t="shared" si="13"/>
        <v>8.5015851229510137E-2</v>
      </c>
      <c r="H89" s="79">
        <f t="shared" si="14"/>
        <v>0.17948861611925104</v>
      </c>
      <c r="I89">
        <f t="shared" si="15"/>
        <v>6.913322130870457E-2</v>
      </c>
      <c r="J89" s="79">
        <f t="shared" si="16"/>
        <v>-9.0152378787271559E-3</v>
      </c>
    </row>
    <row r="90" spans="2:10">
      <c r="B90" s="7">
        <f t="shared" si="17"/>
        <v>87</v>
      </c>
      <c r="C90" s="7">
        <f t="shared" si="9"/>
        <v>1.5184364492350666</v>
      </c>
      <c r="D90" s="7">
        <f t="shared" si="10"/>
        <v>5.2335956242943966E-2</v>
      </c>
      <c r="E90" s="7">
        <f t="shared" si="11"/>
        <v>-0.15282462518279849</v>
      </c>
      <c r="F90" s="80">
        <f t="shared" si="12"/>
        <v>1.3424576123143979</v>
      </c>
      <c r="G90">
        <f t="shared" si="13"/>
        <v>6.8676144221844787E-2</v>
      </c>
      <c r="H90" s="79">
        <f t="shared" si="14"/>
        <v>0.23793106272997877</v>
      </c>
      <c r="I90">
        <f t="shared" si="15"/>
        <v>5.1652708124070829E-2</v>
      </c>
      <c r="J90" s="79">
        <f t="shared" si="16"/>
        <v>-1.3227730813880401E-2</v>
      </c>
    </row>
    <row r="91" spans="2:10">
      <c r="B91" s="7">
        <f t="shared" si="17"/>
        <v>88</v>
      </c>
      <c r="C91" s="7">
        <f t="shared" si="9"/>
        <v>1.5358897417550099</v>
      </c>
      <c r="D91" s="7">
        <f t="shared" si="10"/>
        <v>3.489949670250108E-2</v>
      </c>
      <c r="E91" s="7">
        <f t="shared" si="11"/>
        <v>-0.1794786494141356</v>
      </c>
      <c r="F91" s="80">
        <f t="shared" si="12"/>
        <v>1.1944492941997391</v>
      </c>
      <c r="G91">
        <f t="shared" si="13"/>
        <v>5.2382997989829955E-2</v>
      </c>
      <c r="H91" s="79">
        <f t="shared" si="14"/>
        <v>0.33376289938050618</v>
      </c>
      <c r="I91">
        <f t="shared" si="15"/>
        <v>3.4151273807765566E-2</v>
      </c>
      <c r="J91" s="79">
        <f t="shared" si="16"/>
        <v>-2.1909077211795802E-2</v>
      </c>
    </row>
    <row r="92" spans="2:10">
      <c r="B92" s="7">
        <f t="shared" si="17"/>
        <v>89</v>
      </c>
      <c r="C92" s="7">
        <f t="shared" si="9"/>
        <v>1.5533430342749532</v>
      </c>
      <c r="D92" s="7">
        <f t="shared" si="10"/>
        <v>1.7452406437283598E-2</v>
      </c>
      <c r="E92" s="7">
        <f t="shared" si="11"/>
        <v>-0.20643729106525921</v>
      </c>
      <c r="F92" s="80">
        <f t="shared" si="12"/>
        <v>1.0845409584054584</v>
      </c>
      <c r="G92">
        <f t="shared" si="13"/>
        <v>3.6144531813554287E-2</v>
      </c>
      <c r="H92" s="79">
        <f t="shared" si="14"/>
        <v>0.51714946738530165</v>
      </c>
      <c r="I92">
        <f t="shared" si="15"/>
        <v>1.6633881329848402E-2</v>
      </c>
      <c r="J92" s="79">
        <f t="shared" si="16"/>
        <v>-4.9208305097524496E-2</v>
      </c>
    </row>
    <row r="93" spans="2:10">
      <c r="B93" s="7">
        <f t="shared" si="17"/>
        <v>90</v>
      </c>
      <c r="C93" s="7">
        <f t="shared" si="9"/>
        <v>1.5707963267948966</v>
      </c>
      <c r="D93" s="7">
        <f t="shared" si="10"/>
        <v>6.1257422745431001E-17</v>
      </c>
      <c r="E93" s="7">
        <f t="shared" si="11"/>
        <v>-0.23370055013616975</v>
      </c>
      <c r="F93" s="80">
        <f t="shared" si="12"/>
        <v>1.0000000000000002</v>
      </c>
      <c r="G93">
        <f t="shared" si="13"/>
        <v>1.9968957764878226E-2</v>
      </c>
      <c r="H93" s="79">
        <f t="shared" si="14"/>
        <v>0.99999999999999689</v>
      </c>
      <c r="I93">
        <f t="shared" si="15"/>
        <v>-8.9452299847473174E-4</v>
      </c>
      <c r="J93" s="79">
        <f t="shared" si="16"/>
        <v>1.0000000000000684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W73"/>
  <sheetViews>
    <sheetView tabSelected="1" topLeftCell="A25" zoomScale="110" zoomScaleNormal="110" workbookViewId="0">
      <selection activeCell="K59" sqref="K59"/>
    </sheetView>
  </sheetViews>
  <sheetFormatPr defaultColWidth="9.5703125" defaultRowHeight="12.75"/>
  <cols>
    <col min="1" max="2" width="3.140625" style="181" customWidth="1"/>
    <col min="3" max="3" width="10.5703125" style="181" bestFit="1" customWidth="1"/>
    <col min="4" max="16384" width="9.5703125" style="181"/>
  </cols>
  <sheetData>
    <row r="1" spans="3:23" ht="13.5" thickBot="1">
      <c r="C1" s="1068" t="s">
        <v>25</v>
      </c>
      <c r="D1" s="177" t="s">
        <v>21</v>
      </c>
      <c r="E1" s="178" t="s">
        <v>22</v>
      </c>
      <c r="F1" s="179" t="s">
        <v>23</v>
      </c>
      <c r="G1" s="180" t="s">
        <v>24</v>
      </c>
    </row>
    <row r="2" spans="3:23" ht="13.5" thickBot="1"/>
    <row r="3" spans="3:23" ht="13.5" thickBot="1">
      <c r="C3" s="1386" t="s">
        <v>1104</v>
      </c>
      <c r="D3" s="1387"/>
      <c r="E3" s="1387"/>
      <c r="F3" s="1387"/>
      <c r="G3" s="1388"/>
      <c r="N3" s="1251" t="s">
        <v>1109</v>
      </c>
      <c r="O3" s="1252"/>
      <c r="P3" s="1252"/>
      <c r="Q3" s="1252"/>
      <c r="R3" s="1252"/>
      <c r="S3" s="1252"/>
      <c r="T3" s="1252"/>
      <c r="U3" s="1252"/>
      <c r="V3" s="1252"/>
      <c r="W3" s="1253"/>
    </row>
    <row r="4" spans="3:23" ht="13.5" thickBot="1">
      <c r="N4" s="1100" t="s">
        <v>1027</v>
      </c>
      <c r="O4" s="1101" t="s">
        <v>1062</v>
      </c>
      <c r="P4" s="1101" t="s">
        <v>1056</v>
      </c>
      <c r="Q4" s="1101" t="s">
        <v>1049</v>
      </c>
      <c r="R4" s="1102" t="s">
        <v>1041</v>
      </c>
      <c r="S4" s="1102" t="s">
        <v>1032</v>
      </c>
      <c r="T4" s="1102" t="s">
        <v>1023</v>
      </c>
      <c r="U4" s="1102" t="s">
        <v>1015</v>
      </c>
      <c r="V4" s="1102" t="s">
        <v>1007</v>
      </c>
      <c r="W4" s="1103" t="s">
        <v>999</v>
      </c>
    </row>
    <row r="5" spans="3:23" ht="13.5" thickBot="1">
      <c r="C5" s="1173" t="s">
        <v>983</v>
      </c>
      <c r="D5" s="1174"/>
      <c r="E5" s="1174"/>
      <c r="F5" s="1174"/>
      <c r="G5" s="1175"/>
      <c r="N5" s="1104" t="s">
        <v>1037</v>
      </c>
      <c r="O5" s="1105" t="s">
        <v>1071</v>
      </c>
      <c r="P5" s="1106" t="s">
        <v>1063</v>
      </c>
      <c r="Q5" s="1105" t="s">
        <v>985</v>
      </c>
      <c r="R5" s="1107" t="s">
        <v>1050</v>
      </c>
      <c r="S5" s="1107" t="s">
        <v>1042</v>
      </c>
      <c r="T5" s="1107" t="s">
        <v>1033</v>
      </c>
      <c r="U5" s="1107" t="s">
        <v>1024</v>
      </c>
      <c r="V5" s="1107" t="s">
        <v>1016</v>
      </c>
      <c r="W5" s="1108" t="s">
        <v>1008</v>
      </c>
    </row>
    <row r="6" spans="3:23" ht="13.5" thickBot="1">
      <c r="C6" s="1383" t="s">
        <v>989</v>
      </c>
      <c r="D6" s="1384"/>
      <c r="E6" s="1384"/>
      <c r="F6" s="1384"/>
      <c r="G6" s="1385"/>
      <c r="N6" s="1104" t="s">
        <v>1070</v>
      </c>
      <c r="O6" s="1105" t="s">
        <v>1079</v>
      </c>
      <c r="P6" s="1106" t="s">
        <v>1072</v>
      </c>
      <c r="Q6" s="1105" t="s">
        <v>1064</v>
      </c>
      <c r="R6" s="1107" t="s">
        <v>1057</v>
      </c>
      <c r="S6" s="1107" t="s">
        <v>986</v>
      </c>
      <c r="T6" s="1107" t="s">
        <v>1043</v>
      </c>
      <c r="U6" s="1107" t="s">
        <v>1034</v>
      </c>
      <c r="V6" s="1107" t="s">
        <v>1025</v>
      </c>
      <c r="W6" s="1108" t="s">
        <v>1017</v>
      </c>
    </row>
    <row r="7" spans="3:23" ht="13.5" thickBot="1">
      <c r="C7" s="1383" t="s">
        <v>1100</v>
      </c>
      <c r="D7" s="1384"/>
      <c r="E7" s="1384"/>
      <c r="F7" s="1384"/>
      <c r="G7" s="1385"/>
      <c r="N7" s="1109" t="s">
        <v>991</v>
      </c>
      <c r="O7" s="1107" t="s">
        <v>1088</v>
      </c>
      <c r="P7" s="1106" t="s">
        <v>1080</v>
      </c>
      <c r="Q7" s="1105" t="s">
        <v>1073</v>
      </c>
      <c r="R7" s="1107" t="s">
        <v>1065</v>
      </c>
      <c r="S7" s="1107" t="s">
        <v>987</v>
      </c>
      <c r="T7" s="1107" t="s">
        <v>1051</v>
      </c>
      <c r="U7" s="1107" t="s">
        <v>1044</v>
      </c>
      <c r="V7" s="1107" t="s">
        <v>1035</v>
      </c>
      <c r="W7" s="1108" t="s">
        <v>1026</v>
      </c>
    </row>
    <row r="8" spans="3:23" ht="13.5" thickBot="1">
      <c r="C8" s="1383" t="s">
        <v>1101</v>
      </c>
      <c r="D8" s="1384"/>
      <c r="E8" s="1384"/>
      <c r="F8" s="1384"/>
      <c r="G8" s="1385"/>
      <c r="N8" s="1109" t="s">
        <v>1000</v>
      </c>
      <c r="O8" s="1107" t="s">
        <v>992</v>
      </c>
      <c r="P8" s="1106" t="s">
        <v>1089</v>
      </c>
      <c r="Q8" s="1105" t="s">
        <v>1081</v>
      </c>
      <c r="R8" s="1105" t="s">
        <v>1074</v>
      </c>
      <c r="S8" s="1107" t="s">
        <v>988</v>
      </c>
      <c r="T8" s="1107" t="s">
        <v>1058</v>
      </c>
      <c r="U8" s="1107" t="s">
        <v>1052</v>
      </c>
      <c r="V8" s="1107" t="s">
        <v>1045</v>
      </c>
      <c r="W8" s="1108" t="s">
        <v>1036</v>
      </c>
    </row>
    <row r="9" spans="3:23">
      <c r="C9" s="1081" t="s">
        <v>282</v>
      </c>
      <c r="D9" s="1084">
        <v>1</v>
      </c>
      <c r="E9" s="1084">
        <v>1</v>
      </c>
      <c r="F9" s="1084">
        <v>1</v>
      </c>
      <c r="G9" s="1085">
        <f>G10*SIN(G11/180*PI())/SIN(G12/180*PI())</f>
        <v>1.0001140299214546</v>
      </c>
      <c r="N9" s="1109" t="s">
        <v>1009</v>
      </c>
      <c r="O9" s="1107" t="s">
        <v>1001</v>
      </c>
      <c r="P9" s="1106" t="s">
        <v>993</v>
      </c>
      <c r="Q9" s="1105" t="s">
        <v>1090</v>
      </c>
      <c r="R9" s="1106" t="s">
        <v>1082</v>
      </c>
      <c r="S9" s="1107" t="s">
        <v>990</v>
      </c>
      <c r="T9" s="1107" t="s">
        <v>1066</v>
      </c>
      <c r="U9" s="1107" t="s">
        <v>1059</v>
      </c>
      <c r="V9" s="1107" t="s">
        <v>1053</v>
      </c>
      <c r="W9" s="1108" t="s">
        <v>1046</v>
      </c>
    </row>
    <row r="10" spans="3:23">
      <c r="C10" s="87" t="s">
        <v>209</v>
      </c>
      <c r="D10" s="1086">
        <v>2</v>
      </c>
      <c r="E10" s="1086">
        <v>2</v>
      </c>
      <c r="F10" s="1087">
        <f>F9*SIN(F12/180*PI())/SIN(F11/180*PI())</f>
        <v>1.9997719661597719</v>
      </c>
      <c r="G10" s="1088">
        <v>2</v>
      </c>
      <c r="N10" s="1109" t="s">
        <v>1018</v>
      </c>
      <c r="O10" s="1106" t="s">
        <v>1010</v>
      </c>
      <c r="P10" s="1106" t="s">
        <v>1002</v>
      </c>
      <c r="Q10" s="1107" t="s">
        <v>994</v>
      </c>
      <c r="R10" s="1106" t="s">
        <v>1091</v>
      </c>
      <c r="S10" s="1107" t="s">
        <v>1083</v>
      </c>
      <c r="T10" s="1107" t="s">
        <v>1075</v>
      </c>
      <c r="U10" s="1107" t="s">
        <v>1067</v>
      </c>
      <c r="V10" s="1107" t="s">
        <v>1060</v>
      </c>
      <c r="W10" s="1108" t="s">
        <v>1054</v>
      </c>
    </row>
    <row r="11" spans="3:23">
      <c r="C11" s="1082" t="s">
        <v>986</v>
      </c>
      <c r="D11" s="1089">
        <v>15</v>
      </c>
      <c r="E11" s="1090">
        <f>ASIN(SIN(E12/180*PI())*E9/E10)*180/PI()</f>
        <v>14.998249578605639</v>
      </c>
      <c r="F11" s="1089">
        <v>15</v>
      </c>
      <c r="G11" s="1091">
        <v>15</v>
      </c>
      <c r="N11" s="1109" t="s">
        <v>1028</v>
      </c>
      <c r="O11" s="1105" t="s">
        <v>1019</v>
      </c>
      <c r="P11" s="1106" t="s">
        <v>1011</v>
      </c>
      <c r="Q11" s="1107" t="s">
        <v>1003</v>
      </c>
      <c r="R11" s="1106" t="s">
        <v>995</v>
      </c>
      <c r="S11" s="1107" t="s">
        <v>1092</v>
      </c>
      <c r="T11" s="1107" t="s">
        <v>1084</v>
      </c>
      <c r="U11" s="1107" t="s">
        <v>1076</v>
      </c>
      <c r="V11" s="1107" t="s">
        <v>1068</v>
      </c>
      <c r="W11" s="1108" t="s">
        <v>1061</v>
      </c>
    </row>
    <row r="12" spans="3:23" ht="13.5" thickBot="1">
      <c r="C12" s="1083" t="s">
        <v>987</v>
      </c>
      <c r="D12" s="1092">
        <f>ASIN(SIN(D11/180*PI())*D10/D9)*180/PI()</f>
        <v>31.17395219614713</v>
      </c>
      <c r="E12" s="1093">
        <v>31.17</v>
      </c>
      <c r="F12" s="1093">
        <v>31.17</v>
      </c>
      <c r="G12" s="1094">
        <v>31.17</v>
      </c>
      <c r="N12" s="1109" t="s">
        <v>1038</v>
      </c>
      <c r="O12" s="1106" t="s">
        <v>1029</v>
      </c>
      <c r="P12" s="1106" t="s">
        <v>1020</v>
      </c>
      <c r="Q12" s="1107" t="s">
        <v>1012</v>
      </c>
      <c r="R12" s="1106" t="s">
        <v>1004</v>
      </c>
      <c r="S12" s="1107" t="s">
        <v>996</v>
      </c>
      <c r="T12" s="1107" t="s">
        <v>1093</v>
      </c>
      <c r="U12" s="1107" t="s">
        <v>1085</v>
      </c>
      <c r="V12" s="1107" t="s">
        <v>1077</v>
      </c>
      <c r="W12" s="1108" t="s">
        <v>1069</v>
      </c>
    </row>
    <row r="13" spans="3:23" ht="13.5" thickBot="1">
      <c r="C13" s="1080"/>
      <c r="D13" s="1080"/>
      <c r="E13" s="1080"/>
      <c r="F13" s="1080"/>
      <c r="G13" s="1080"/>
      <c r="N13" s="1109" t="s">
        <v>1047</v>
      </c>
      <c r="O13" s="1106" t="s">
        <v>1039</v>
      </c>
      <c r="P13" s="1106" t="s">
        <v>1030</v>
      </c>
      <c r="Q13" s="1107" t="s">
        <v>1021</v>
      </c>
      <c r="R13" s="1107" t="s">
        <v>1013</v>
      </c>
      <c r="S13" s="1107" t="s">
        <v>1005</v>
      </c>
      <c r="T13" s="1107" t="s">
        <v>997</v>
      </c>
      <c r="U13" s="1107" t="s">
        <v>1094</v>
      </c>
      <c r="V13" s="1107" t="s">
        <v>1086</v>
      </c>
      <c r="W13" s="1108" t="s">
        <v>1078</v>
      </c>
    </row>
    <row r="14" spans="3:23" ht="13.5" thickBot="1">
      <c r="C14" s="1173" t="s">
        <v>984</v>
      </c>
      <c r="D14" s="1174"/>
      <c r="E14" s="1174"/>
      <c r="F14" s="1174"/>
      <c r="G14" s="1175"/>
      <c r="N14" s="1110" t="s">
        <v>1055</v>
      </c>
      <c r="O14" s="1111" t="s">
        <v>1048</v>
      </c>
      <c r="P14" s="1112" t="s">
        <v>1040</v>
      </c>
      <c r="Q14" s="1113" t="s">
        <v>1031</v>
      </c>
      <c r="R14" s="1113" t="s">
        <v>1022</v>
      </c>
      <c r="S14" s="1113" t="s">
        <v>1014</v>
      </c>
      <c r="T14" s="1113" t="s">
        <v>1006</v>
      </c>
      <c r="U14" s="1113" t="s">
        <v>998</v>
      </c>
      <c r="V14" s="1113" t="s">
        <v>1095</v>
      </c>
      <c r="W14" s="1114" t="s">
        <v>1087</v>
      </c>
    </row>
    <row r="15" spans="3:23" ht="13.5" thickBot="1">
      <c r="C15" s="1383" t="s">
        <v>1107</v>
      </c>
      <c r="D15" s="1384"/>
      <c r="E15" s="1384"/>
      <c r="F15" s="1384"/>
      <c r="G15" s="1385"/>
      <c r="W15" s="1099"/>
    </row>
    <row r="16" spans="3:23" ht="13.5" thickBot="1">
      <c r="C16" s="1383" t="s">
        <v>1106</v>
      </c>
      <c r="D16" s="1384"/>
      <c r="E16" s="1384"/>
      <c r="F16" s="1384"/>
      <c r="G16" s="1385"/>
    </row>
    <row r="17" spans="3:7">
      <c r="C17" s="1081" t="s">
        <v>282</v>
      </c>
      <c r="D17" s="1084">
        <v>1.5</v>
      </c>
      <c r="E17" s="1084">
        <v>1</v>
      </c>
      <c r="F17" s="1084">
        <v>8</v>
      </c>
      <c r="G17" s="1085">
        <f>SQRT(G18^2+G19^2-2*G18*G19*COS(G20/180*PI()))</f>
        <v>1.4999912750237532</v>
      </c>
    </row>
    <row r="18" spans="3:7">
      <c r="C18" s="87" t="s">
        <v>209</v>
      </c>
      <c r="D18" s="1086">
        <v>1</v>
      </c>
      <c r="E18" s="1086">
        <v>1</v>
      </c>
      <c r="F18" s="1087">
        <f>SQRT(F17^2+F19^2-2*F17*F19*COS(F20/180*PI()))</f>
        <v>7.5498344352707498</v>
      </c>
      <c r="G18" s="1088">
        <v>1</v>
      </c>
    </row>
    <row r="19" spans="3:7">
      <c r="C19" s="1082" t="s">
        <v>244</v>
      </c>
      <c r="D19" s="1086">
        <v>1</v>
      </c>
      <c r="E19" s="1087">
        <f>SQRT(E17^2+E18^2-2*E17*E18*COS(E20/180*PI()))</f>
        <v>0.99999999999999989</v>
      </c>
      <c r="F19" s="1086">
        <v>1</v>
      </c>
      <c r="G19" s="1088">
        <v>1</v>
      </c>
    </row>
    <row r="20" spans="3:7" ht="13.5" thickBot="1">
      <c r="C20" s="1083" t="s">
        <v>986</v>
      </c>
      <c r="D20" s="1092">
        <f>ACOS((D18^2+D19^2-D17^2)/2/D18/D19)*180/PI()</f>
        <v>97.180755781458288</v>
      </c>
      <c r="E20" s="1093">
        <v>60</v>
      </c>
      <c r="F20" s="1093">
        <v>60</v>
      </c>
      <c r="G20" s="1094">
        <v>97.18</v>
      </c>
    </row>
    <row r="21" spans="3:7" ht="13.5" thickBot="1"/>
    <row r="22" spans="3:7" ht="13.5" thickBot="1">
      <c r="C22" s="1173" t="s">
        <v>1096</v>
      </c>
      <c r="D22" s="1174"/>
      <c r="E22" s="1174"/>
      <c r="F22" s="1174"/>
      <c r="G22" s="1175"/>
    </row>
    <row r="23" spans="3:7" ht="13.5" thickBot="1">
      <c r="C23" s="1383" t="s">
        <v>1097</v>
      </c>
      <c r="D23" s="1384"/>
      <c r="E23" s="1384"/>
      <c r="F23" s="1384"/>
      <c r="G23" s="1385"/>
    </row>
    <row r="24" spans="3:7" ht="13.5" thickBot="1">
      <c r="C24" s="1383" t="s">
        <v>1098</v>
      </c>
      <c r="D24" s="1384"/>
      <c r="E24" s="1384"/>
      <c r="F24" s="1384"/>
      <c r="G24" s="1385"/>
    </row>
    <row r="25" spans="3:7" ht="13.5" thickBot="1">
      <c r="C25" s="1383" t="s">
        <v>1099</v>
      </c>
      <c r="D25" s="1384"/>
      <c r="E25" s="1384"/>
      <c r="F25" s="1384"/>
      <c r="G25" s="1385"/>
    </row>
    <row r="26" spans="3:7">
      <c r="C26" s="1081" t="s">
        <v>282</v>
      </c>
      <c r="D26" s="1095">
        <v>1</v>
      </c>
    </row>
    <row r="27" spans="3:7">
      <c r="C27" s="87" t="s">
        <v>209</v>
      </c>
      <c r="D27" s="1088">
        <v>1</v>
      </c>
    </row>
    <row r="28" spans="3:7">
      <c r="C28" s="87" t="s">
        <v>244</v>
      </c>
      <c r="D28" s="1088">
        <v>1</v>
      </c>
    </row>
    <row r="29" spans="3:7">
      <c r="C29" s="87" t="s">
        <v>283</v>
      </c>
      <c r="D29" s="1096">
        <f>(D26+D27+D28)/2</f>
        <v>1.5</v>
      </c>
    </row>
    <row r="30" spans="3:7">
      <c r="C30" s="87" t="s">
        <v>6</v>
      </c>
      <c r="D30" s="1096">
        <f>SQRT(D29*(D29-D26)*(D29-D27)*(D29-D28))</f>
        <v>0.4330127018922193</v>
      </c>
    </row>
    <row r="31" spans="3:7" ht="13.5" thickBot="1">
      <c r="C31" s="1097" t="s">
        <v>1108</v>
      </c>
      <c r="D31" s="1098">
        <f>2*D30/2/D29</f>
        <v>0.28867513459481287</v>
      </c>
    </row>
    <row r="32" spans="3:7" ht="13.5" thickBot="1"/>
    <row r="33" spans="3:10" ht="13.5" thickBot="1">
      <c r="C33" s="1386" t="s">
        <v>1150</v>
      </c>
      <c r="D33" s="1387"/>
      <c r="E33" s="1387"/>
      <c r="F33" s="1387"/>
      <c r="G33" s="1387"/>
      <c r="H33" s="1387"/>
      <c r="I33" s="1387"/>
      <c r="J33" s="1388"/>
    </row>
    <row r="34" spans="3:10" ht="13.5" thickBot="1"/>
    <row r="35" spans="3:10" ht="13.5" thickBot="1">
      <c r="C35" s="1173" t="s">
        <v>1105</v>
      </c>
      <c r="D35" s="1174"/>
      <c r="E35" s="1174"/>
      <c r="F35" s="1174"/>
      <c r="G35" s="1174"/>
      <c r="H35" s="1174"/>
      <c r="I35" s="1174"/>
      <c r="J35" s="1175"/>
    </row>
    <row r="36" spans="3:10" ht="13.5" thickBot="1">
      <c r="C36" s="1118" t="s">
        <v>1134</v>
      </c>
      <c r="D36" s="1117" t="s">
        <v>1135</v>
      </c>
      <c r="E36" s="1117" t="s">
        <v>1139</v>
      </c>
      <c r="F36" s="1124" t="s">
        <v>1138</v>
      </c>
      <c r="G36" s="1391" t="s">
        <v>1143</v>
      </c>
      <c r="H36" s="1392"/>
      <c r="I36" s="1391" t="s">
        <v>1144</v>
      </c>
      <c r="J36" s="1392"/>
    </row>
    <row r="37" spans="3:10" ht="13.5" thickBot="1">
      <c r="C37" s="1120" t="s">
        <v>1130</v>
      </c>
      <c r="D37" s="1116" t="s">
        <v>1136</v>
      </c>
      <c r="E37" s="1116" t="s">
        <v>1131</v>
      </c>
      <c r="F37" s="1121" t="s">
        <v>1137</v>
      </c>
      <c r="G37" s="1391" t="s">
        <v>1145</v>
      </c>
      <c r="H37" s="1392"/>
      <c r="I37" s="1391" t="s">
        <v>1147</v>
      </c>
      <c r="J37" s="1392"/>
    </row>
    <row r="38" spans="3:10" ht="13.5" thickBot="1">
      <c r="C38" s="1120" t="s">
        <v>1142</v>
      </c>
      <c r="D38" s="1121" t="s">
        <v>1141</v>
      </c>
      <c r="E38" s="1121" t="s">
        <v>1133</v>
      </c>
      <c r="F38" s="1121" t="s">
        <v>1140</v>
      </c>
      <c r="G38" s="1391" t="s">
        <v>1146</v>
      </c>
      <c r="H38" s="1392"/>
      <c r="I38" s="1391" t="s">
        <v>1148</v>
      </c>
      <c r="J38" s="1392"/>
    </row>
    <row r="39" spans="3:10" ht="13.5" thickBot="1">
      <c r="C39" s="1123" t="s">
        <v>1132</v>
      </c>
      <c r="D39" s="1389">
        <f>PI()</f>
        <v>3.1415926535897931</v>
      </c>
      <c r="E39" s="1389"/>
      <c r="F39" s="1390"/>
    </row>
    <row r="40" spans="3:10">
      <c r="C40" s="90" t="s">
        <v>180</v>
      </c>
      <c r="D40" s="1086">
        <v>1</v>
      </c>
      <c r="E40" s="1086">
        <v>1</v>
      </c>
      <c r="F40" s="1086">
        <v>1</v>
      </c>
      <c r="G40" s="1087">
        <f>SQRT(2*G42/G47)</f>
        <v>0.99974648917468212</v>
      </c>
      <c r="H40" s="1087">
        <f>H43/H47</f>
        <v>0.99949304261710281</v>
      </c>
      <c r="I40" s="1087">
        <f>2*I42/I43</f>
        <v>1.0063694267515924</v>
      </c>
    </row>
    <row r="41" spans="3:10">
      <c r="C41" s="90" t="s">
        <v>986</v>
      </c>
      <c r="D41" s="1089">
        <v>90</v>
      </c>
      <c r="E41" s="1122">
        <f>E47/PI()*180</f>
        <v>90.527331630670076</v>
      </c>
      <c r="F41" s="1122">
        <f>F47*180/PI()</f>
        <v>89.954373835539258</v>
      </c>
      <c r="G41" s="1089">
        <v>360</v>
      </c>
      <c r="H41" s="1089">
        <v>90</v>
      </c>
      <c r="I41" s="1122">
        <f>I47*180/PI()</f>
        <v>89.385042355567464</v>
      </c>
    </row>
    <row r="42" spans="3:10">
      <c r="C42" s="90" t="s">
        <v>6</v>
      </c>
      <c r="D42" s="1087">
        <f>D47*D40^2/2</f>
        <v>0.78539816339744828</v>
      </c>
      <c r="E42" s="1086">
        <v>0.79</v>
      </c>
      <c r="F42" s="1087">
        <f>F40*F43/2</f>
        <v>0.78500000000000003</v>
      </c>
      <c r="G42" s="1086">
        <v>3.14</v>
      </c>
      <c r="H42" s="1087">
        <f>H43^2/2/H47</f>
        <v>0.78460203845442567</v>
      </c>
      <c r="I42" s="1086">
        <v>0.79</v>
      </c>
    </row>
    <row r="43" spans="3:10">
      <c r="C43" s="90" t="s">
        <v>51</v>
      </c>
      <c r="D43" s="1087">
        <f>D47/D40</f>
        <v>1.5707963267948966</v>
      </c>
      <c r="E43" s="1087">
        <f>2*E42/E40</f>
        <v>1.58</v>
      </c>
      <c r="F43" s="1086">
        <v>1.57</v>
      </c>
      <c r="G43" s="1087">
        <f>SQRT(2*G47*G42)</f>
        <v>6.2815924516867385</v>
      </c>
      <c r="H43" s="1086">
        <v>1.57</v>
      </c>
      <c r="I43" s="1086">
        <v>1.57</v>
      </c>
    </row>
    <row r="44" spans="3:10">
      <c r="C44" s="90" t="s">
        <v>9</v>
      </c>
      <c r="D44" s="1087">
        <f>2*D40*SIN(D47/2)</f>
        <v>1.4142135623730949</v>
      </c>
      <c r="E44" s="1087">
        <f>2*E40*SIN(E42/E40^2)</f>
        <v>1.4207065448352156</v>
      </c>
      <c r="F44" s="1087">
        <f>2*F40*SIN(F43/F40/2)</f>
        <v>1.4136503622107319</v>
      </c>
      <c r="G44" s="1087"/>
      <c r="H44" s="1087"/>
      <c r="I44" s="1087"/>
    </row>
    <row r="45" spans="3:10">
      <c r="C45" s="90" t="s">
        <v>357</v>
      </c>
      <c r="D45" s="1087">
        <f>D40*(1-COS(D47/2))</f>
        <v>0.29289321881345243</v>
      </c>
      <c r="E45" s="1087">
        <f>E40*(1-COS(E42/E40^2))</f>
        <v>0.29615468434776393</v>
      </c>
      <c r="F45" s="1087">
        <f>F40*(1-COS(F43/F40/2))</f>
        <v>0.29261173083280023</v>
      </c>
      <c r="G45" s="1087"/>
      <c r="H45" s="1087"/>
      <c r="I45" s="1087"/>
    </row>
    <row r="47" spans="3:10">
      <c r="C47" s="90" t="s">
        <v>1129</v>
      </c>
      <c r="D47" s="1119">
        <f>D41/180*PI()</f>
        <v>1.5707963267948966</v>
      </c>
      <c r="E47" s="1119">
        <f>2*E42/E40^2</f>
        <v>1.58</v>
      </c>
      <c r="F47" s="1119">
        <f>F43/F40</f>
        <v>1.57</v>
      </c>
      <c r="G47" s="1119">
        <f>G41/180*PI()</f>
        <v>6.2831853071795862</v>
      </c>
      <c r="H47" s="1119">
        <f>H41/180*PI()</f>
        <v>1.5707963267948966</v>
      </c>
      <c r="I47" s="1119">
        <f>I43^2/2/I42</f>
        <v>1.5600632911392405</v>
      </c>
    </row>
    <row r="48" spans="3:10" ht="13.5" thickBot="1"/>
    <row r="49" spans="3:10" ht="13.5" thickBot="1">
      <c r="C49" s="1386" t="s">
        <v>1161</v>
      </c>
      <c r="D49" s="1387"/>
      <c r="E49" s="1387"/>
      <c r="F49" s="1387"/>
      <c r="G49" s="1387"/>
      <c r="H49" s="1387"/>
      <c r="I49" s="1387"/>
      <c r="J49" s="1388"/>
    </row>
    <row r="50" spans="3:10" ht="13.5" thickBot="1"/>
    <row r="51" spans="3:10" ht="13.5" thickBot="1">
      <c r="C51" s="1173" t="s">
        <v>1171</v>
      </c>
      <c r="D51" s="1174"/>
      <c r="E51" s="1174"/>
      <c r="F51" s="1174"/>
      <c r="G51" s="1174"/>
      <c r="H51" s="1175"/>
    </row>
    <row r="52" spans="3:10" ht="15" thickBot="1">
      <c r="C52" s="1121" t="s">
        <v>1162</v>
      </c>
      <c r="D52" s="1396" t="s">
        <v>1163</v>
      </c>
      <c r="E52" s="1396" t="s">
        <v>1164</v>
      </c>
      <c r="F52" s="1396" t="s">
        <v>1168</v>
      </c>
      <c r="G52" s="1391" t="s">
        <v>1169</v>
      </c>
      <c r="H52" s="1392"/>
    </row>
    <row r="53" spans="3:10">
      <c r="C53" s="90" t="s">
        <v>854</v>
      </c>
      <c r="D53" s="1086">
        <v>1.5</v>
      </c>
      <c r="E53" s="1086">
        <v>1.5</v>
      </c>
      <c r="F53" s="1086"/>
    </row>
    <row r="54" spans="3:10">
      <c r="C54" s="90" t="s">
        <v>855</v>
      </c>
      <c r="D54" s="1086">
        <v>0</v>
      </c>
      <c r="E54" s="1086"/>
      <c r="F54" s="1086"/>
    </row>
    <row r="55" spans="3:10">
      <c r="C55" s="90" t="s">
        <v>106</v>
      </c>
      <c r="D55" s="1086">
        <v>3</v>
      </c>
      <c r="E55" s="1086">
        <v>0</v>
      </c>
      <c r="F55" s="1087"/>
    </row>
    <row r="56" spans="3:10">
      <c r="C56" s="90" t="s">
        <v>1165</v>
      </c>
      <c r="D56" s="1086">
        <v>0.3</v>
      </c>
      <c r="E56" s="1087">
        <f>E55/E58</f>
        <v>0</v>
      </c>
      <c r="F56" s="1087"/>
    </row>
    <row r="57" spans="3:10">
      <c r="C57" s="90" t="s">
        <v>1170</v>
      </c>
      <c r="D57" s="1087">
        <f>D53/D58</f>
        <v>0.15</v>
      </c>
      <c r="E57" s="1087">
        <f>E53/E58</f>
        <v>0.15</v>
      </c>
      <c r="F57" s="1086"/>
    </row>
    <row r="58" spans="3:10">
      <c r="C58" s="90" t="s">
        <v>395</v>
      </c>
      <c r="D58" s="1087">
        <f>D55/D56</f>
        <v>10</v>
      </c>
      <c r="E58" s="1086">
        <v>10</v>
      </c>
      <c r="F58" s="1086"/>
    </row>
    <row r="59" spans="3:10" ht="14.25">
      <c r="C59" s="90" t="s">
        <v>1167</v>
      </c>
      <c r="D59" s="1087">
        <f>D58*PI()*(2*D53-D58*D57)</f>
        <v>47.123889803846893</v>
      </c>
      <c r="E59" s="1087">
        <f>PI()*E58*E53</f>
        <v>47.123889803846893</v>
      </c>
      <c r="F59" s="1087"/>
    </row>
    <row r="60" spans="3:10" ht="14.25">
      <c r="C60" s="90" t="s">
        <v>1166</v>
      </c>
      <c r="D60" s="1087">
        <f>SQRT(D59^2+D55^2)</f>
        <v>47.21928621066931</v>
      </c>
      <c r="E60" s="1087">
        <f>SQRT(E59^2+E55^2)</f>
        <v>47.123889803846893</v>
      </c>
      <c r="F60" s="1087"/>
    </row>
    <row r="62" spans="3:10" ht="13.5" thickBot="1"/>
    <row r="63" spans="3:10" ht="13.5" thickBot="1">
      <c r="C63" s="1386" t="s">
        <v>1149</v>
      </c>
      <c r="D63" s="1387"/>
      <c r="E63" s="1387"/>
      <c r="F63" s="1387"/>
      <c r="G63" s="1387"/>
      <c r="H63" s="1387"/>
      <c r="I63" s="1387"/>
      <c r="J63" s="1388"/>
    </row>
    <row r="64" spans="3:10" ht="13.5" thickBot="1"/>
    <row r="65" spans="3:10" ht="13.5" thickBot="1">
      <c r="C65" s="1173" t="s">
        <v>1151</v>
      </c>
      <c r="D65" s="1174"/>
      <c r="E65" s="1174"/>
      <c r="F65" s="1174"/>
      <c r="G65" s="1174"/>
      <c r="H65" s="1175"/>
      <c r="I65"/>
      <c r="J65"/>
    </row>
    <row r="66" spans="3:10" ht="13.5" thickBot="1"/>
    <row r="67" spans="3:10" ht="13.5" thickBot="1">
      <c r="C67" s="1393" t="s">
        <v>1155</v>
      </c>
      <c r="D67" s="1394"/>
      <c r="E67" s="1395"/>
      <c r="F67" s="1393" t="s">
        <v>1156</v>
      </c>
      <c r="G67" s="1394"/>
      <c r="H67" s="1395"/>
    </row>
    <row r="68" spans="3:10">
      <c r="C68" s="1125" t="s">
        <v>78</v>
      </c>
      <c r="D68" s="1126" t="s">
        <v>79</v>
      </c>
      <c r="E68" s="1126" t="s">
        <v>1152</v>
      </c>
      <c r="F68" s="1126" t="s">
        <v>1153</v>
      </c>
      <c r="G68" s="1126" t="s">
        <v>1154</v>
      </c>
      <c r="H68" s="1127" t="s">
        <v>361</v>
      </c>
    </row>
    <row r="69" spans="3:10" ht="13.5" thickBot="1">
      <c r="C69" s="1128">
        <v>10</v>
      </c>
      <c r="D69" s="1129">
        <v>0</v>
      </c>
      <c r="E69" s="1129">
        <v>10</v>
      </c>
      <c r="F69" s="1130">
        <f>E69/2*(C69+D69)</f>
        <v>50</v>
      </c>
      <c r="G69" s="1130">
        <f>E69/3*(C69+D69+SQRT(C69*D69))</f>
        <v>33.333333333333336</v>
      </c>
      <c r="H69" s="1131">
        <f>(F69-G69)/G69</f>
        <v>0.49999999999999989</v>
      </c>
    </row>
    <row r="70" spans="3:10" ht="13.5" thickBot="1"/>
    <row r="71" spans="3:10" ht="13.5" thickBot="1">
      <c r="C71" s="1380" t="s">
        <v>1160</v>
      </c>
      <c r="D71" s="1381"/>
      <c r="E71" s="1381"/>
      <c r="F71" s="1381"/>
      <c r="G71" s="1381"/>
      <c r="H71" s="1382"/>
    </row>
    <row r="72" spans="3:10">
      <c r="C72" s="1125" t="s">
        <v>51</v>
      </c>
      <c r="D72" s="1126" t="s">
        <v>106</v>
      </c>
      <c r="E72" s="1126" t="s">
        <v>1158</v>
      </c>
      <c r="F72" s="1126" t="s">
        <v>283</v>
      </c>
      <c r="G72" s="1376" t="s">
        <v>72</v>
      </c>
      <c r="H72" s="1377"/>
    </row>
    <row r="73" spans="3:10" ht="13.5" thickBot="1">
      <c r="C73" s="1132">
        <v>1000</v>
      </c>
      <c r="D73" s="1129">
        <v>1</v>
      </c>
      <c r="E73" s="1129">
        <v>20</v>
      </c>
      <c r="F73" s="1129">
        <v>1.5</v>
      </c>
      <c r="G73" s="1378">
        <f>C73*(F73*D73^2+E73*D73)</f>
        <v>21500</v>
      </c>
      <c r="H73" s="1379"/>
    </row>
  </sheetData>
  <mergeCells count="32">
    <mergeCell ref="C65:H65"/>
    <mergeCell ref="C67:E67"/>
    <mergeCell ref="F67:H67"/>
    <mergeCell ref="I36:J36"/>
    <mergeCell ref="C49:J49"/>
    <mergeCell ref="C51:H51"/>
    <mergeCell ref="G52:H52"/>
    <mergeCell ref="C7:G7"/>
    <mergeCell ref="C8:G8"/>
    <mergeCell ref="C16:G16"/>
    <mergeCell ref="N3:W3"/>
    <mergeCell ref="C5:G5"/>
    <mergeCell ref="C6:G6"/>
    <mergeCell ref="C14:G14"/>
    <mergeCell ref="C15:G15"/>
    <mergeCell ref="C3:G3"/>
    <mergeCell ref="G72:H72"/>
    <mergeCell ref="G73:H73"/>
    <mergeCell ref="C71:H71"/>
    <mergeCell ref="C22:G22"/>
    <mergeCell ref="C23:G23"/>
    <mergeCell ref="C24:G24"/>
    <mergeCell ref="C25:G25"/>
    <mergeCell ref="C33:J33"/>
    <mergeCell ref="C35:J35"/>
    <mergeCell ref="D39:F39"/>
    <mergeCell ref="G36:H36"/>
    <mergeCell ref="G37:H37"/>
    <mergeCell ref="G38:H38"/>
    <mergeCell ref="I37:J37"/>
    <mergeCell ref="I38:J38"/>
    <mergeCell ref="C63:J6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121</vt:i4>
      </vt:variant>
    </vt:vector>
  </HeadingPairs>
  <TitlesOfParts>
    <vt:vector size="142" baseType="lpstr">
      <vt:lpstr>INFO</vt:lpstr>
      <vt:lpstr>LOG</vt:lpstr>
      <vt:lpstr>STRADE</vt:lpstr>
      <vt:lpstr>VIS</vt:lpstr>
      <vt:lpstr>DA</vt:lpstr>
      <vt:lpstr>PLAN</vt:lpstr>
      <vt:lpstr>PROF</vt:lpstr>
      <vt:lpstr>DIAGVEL</vt:lpstr>
      <vt:lpstr>ACCDEC</vt:lpstr>
      <vt:lpstr>SCAMBIO</vt:lpstr>
      <vt:lpstr>QROT</vt:lpstr>
      <vt:lpstr>QROT4</vt:lpstr>
      <vt:lpstr>MOTOACC</vt:lpstr>
      <vt:lpstr>TAB</vt:lpstr>
      <vt:lpstr>TAB2</vt:lpstr>
      <vt:lpstr>VARIE</vt:lpstr>
      <vt:lpstr>ROT3P</vt:lpstr>
      <vt:lpstr>KSVI</vt:lpstr>
      <vt:lpstr>FRANCIA</vt:lpstr>
      <vt:lpstr>TAYLOR</vt:lpstr>
      <vt:lpstr>MATH</vt:lpstr>
      <vt:lpstr>_ALT1</vt:lpstr>
      <vt:lpstr>_ALT2</vt:lpstr>
      <vt:lpstr>_TGA2</vt:lpstr>
      <vt:lpstr>A</vt:lpstr>
      <vt:lpstr>AA</vt:lpstr>
      <vt:lpstr>ACONC</vt:lpstr>
      <vt:lpstr>ACONV</vt:lpstr>
      <vt:lpstr>ALT</vt:lpstr>
      <vt:lpstr>ANG</vt:lpstr>
      <vt:lpstr>STRADE!Area_stampa</vt:lpstr>
      <vt:lpstr>TAB!Area_stampa</vt:lpstr>
      <vt:lpstr>'TAB2'!Area_stampa</vt:lpstr>
      <vt:lpstr>CETUR.4.A</vt:lpstr>
      <vt:lpstr>CETUR.4.D.1</vt:lpstr>
      <vt:lpstr>CETUR.4.D.2</vt:lpstr>
      <vt:lpstr>CETUR.4.D.3</vt:lpstr>
      <vt:lpstr>CETUR.4.D.4</vt:lpstr>
      <vt:lpstr>CETUR.4.G.1</vt:lpstr>
      <vt:lpstr>CETUR.4.G.2</vt:lpstr>
      <vt:lpstr>CETUR.4.G.3</vt:lpstr>
      <vt:lpstr>CETUR.4.G.4</vt:lpstr>
      <vt:lpstr>CETUR.4.K.1</vt:lpstr>
      <vt:lpstr>CETUR.4.K.2</vt:lpstr>
      <vt:lpstr>CETUR.4.K.3</vt:lpstr>
      <vt:lpstr>CETUR.4.K.4</vt:lpstr>
      <vt:lpstr>CETUR.4.K1.1</vt:lpstr>
      <vt:lpstr>CETUR.4.K1.2</vt:lpstr>
      <vt:lpstr>CETUR.4.K1.3</vt:lpstr>
      <vt:lpstr>CETUR.4.K1.4</vt:lpstr>
      <vt:lpstr>CETUR.4.Q.D.1</vt:lpstr>
      <vt:lpstr>CETUR.4.Q.D.2</vt:lpstr>
      <vt:lpstr>CETUR.4.Q.D.3</vt:lpstr>
      <vt:lpstr>CETUR.4.Q.D.4</vt:lpstr>
      <vt:lpstr>COSAA</vt:lpstr>
      <vt:lpstr>COSMAX</vt:lpstr>
      <vt:lpstr>DELTA</vt:lpstr>
      <vt:lpstr>DELTAI</vt:lpstr>
      <vt:lpstr>DELTAP</vt:lpstr>
      <vt:lpstr>DIST</vt:lpstr>
      <vt:lpstr>HT</vt:lpstr>
      <vt:lpstr>LA</vt:lpstr>
      <vt:lpstr>PCONC</vt:lpstr>
      <vt:lpstr>PCONV</vt:lpstr>
      <vt:lpstr>PD</vt:lpstr>
      <vt:lpstr>RCONC</vt:lpstr>
      <vt:lpstr>RCONV</vt:lpstr>
      <vt:lpstr>ROT.4.ANN</vt:lpstr>
      <vt:lpstr>ROT.4.ENT.1</vt:lpstr>
      <vt:lpstr>ROT.4.ENT.2</vt:lpstr>
      <vt:lpstr>ROT.4.ENT.3</vt:lpstr>
      <vt:lpstr>ROT.4.ENT.4</vt:lpstr>
      <vt:lpstr>ROT.4.N.1.2</vt:lpstr>
      <vt:lpstr>ROT.4.N.1.3</vt:lpstr>
      <vt:lpstr>ROT.4.N.1.4</vt:lpstr>
      <vt:lpstr>ROT.4.N.2.1</vt:lpstr>
      <vt:lpstr>ROT.4.N.2.3</vt:lpstr>
      <vt:lpstr>ROT.4.N.2.4</vt:lpstr>
      <vt:lpstr>ROT.4.N.3.1</vt:lpstr>
      <vt:lpstr>ROT.4.N.3.2</vt:lpstr>
      <vt:lpstr>ROT.4.N.3.4</vt:lpstr>
      <vt:lpstr>ROT.4.N.4.1</vt:lpstr>
      <vt:lpstr>ROT.4.N.4.2</vt:lpstr>
      <vt:lpstr>ROT.4.N.4.3</vt:lpstr>
      <vt:lpstr>ROT.4.N.C.1</vt:lpstr>
      <vt:lpstr>ROT.4.N.C.2</vt:lpstr>
      <vt:lpstr>ROT.4.N.C.3</vt:lpstr>
      <vt:lpstr>ROT.4.N.C.4</vt:lpstr>
      <vt:lpstr>ROT.4.Q.E.1</vt:lpstr>
      <vt:lpstr>ROT.4.Q.E.2</vt:lpstr>
      <vt:lpstr>ROT.4.Q.E.3</vt:lpstr>
      <vt:lpstr>ROT.4.Q.E.4</vt:lpstr>
      <vt:lpstr>ROT.4.R</vt:lpstr>
      <vt:lpstr>ROT.4.SEP.1</vt:lpstr>
      <vt:lpstr>ROT.4.SEP.2</vt:lpstr>
      <vt:lpstr>ROT.4.SEP.3</vt:lpstr>
      <vt:lpstr>ROT.4.SEP.4</vt:lpstr>
      <vt:lpstr>SETRA.4.A</vt:lpstr>
      <vt:lpstr>SETRA.4.d.1</vt:lpstr>
      <vt:lpstr>SETRA.4.d.2</vt:lpstr>
      <vt:lpstr>SETRA.4.d.3</vt:lpstr>
      <vt:lpstr>SETRA.4.d.4</vt:lpstr>
      <vt:lpstr>SETRA.4.E.1</vt:lpstr>
      <vt:lpstr>SETRA.4.E.2</vt:lpstr>
      <vt:lpstr>SETRA.4.E.3</vt:lpstr>
      <vt:lpstr>SETRA.4.E.4</vt:lpstr>
      <vt:lpstr>SETRA.4.K.1</vt:lpstr>
      <vt:lpstr>SETRA.4.K.2</vt:lpstr>
      <vt:lpstr>SETRA.4.K.3</vt:lpstr>
      <vt:lpstr>SETRA.4.K.4</vt:lpstr>
      <vt:lpstr>SETRA.4.K1.1</vt:lpstr>
      <vt:lpstr>SETRA.4.K1.2</vt:lpstr>
      <vt:lpstr>SETRA.4.K1.3</vt:lpstr>
      <vt:lpstr>SETRA.4.K1.4</vt:lpstr>
      <vt:lpstr>SETRA.4.Q.C.1</vt:lpstr>
      <vt:lpstr>SETRA.4.Q.C.2</vt:lpstr>
      <vt:lpstr>SETRA.4.Q.C.3</vt:lpstr>
      <vt:lpstr>SETRA.4.Q.C.4</vt:lpstr>
      <vt:lpstr>SETRA.4.Q.D.1</vt:lpstr>
      <vt:lpstr>SETRA.4.Q.D.2</vt:lpstr>
      <vt:lpstr>SETRA.4.Q.D.3</vt:lpstr>
      <vt:lpstr>SETRA.4.Q.D.4</vt:lpstr>
      <vt:lpstr>SETRA.4.Q.U.1</vt:lpstr>
      <vt:lpstr>SETRA.4.Q.U.2</vt:lpstr>
      <vt:lpstr>SETRA.4.Q.U.3</vt:lpstr>
      <vt:lpstr>SETRA.4.Q.U.4</vt:lpstr>
      <vt:lpstr>SETRA.4.Q1.U.1</vt:lpstr>
      <vt:lpstr>SETRA.4.Q1.U.2</vt:lpstr>
      <vt:lpstr>SETRA.4.Q1.U.3</vt:lpstr>
      <vt:lpstr>SETRA.4.Q1.U.4</vt:lpstr>
      <vt:lpstr>SETRA.4.S.1</vt:lpstr>
      <vt:lpstr>SETRA.4.S.2</vt:lpstr>
      <vt:lpstr>SETRA.4.S.3</vt:lpstr>
      <vt:lpstr>SETRA.4.S.4</vt:lpstr>
      <vt:lpstr>SINAA</vt:lpstr>
      <vt:lpstr>SINMAX</vt:lpstr>
      <vt:lpstr>TIMPORAMPE</vt:lpstr>
      <vt:lpstr>TIPISTRADE</vt:lpstr>
      <vt:lpstr>TIPO</vt:lpstr>
      <vt:lpstr>TIPOA</vt:lpstr>
      <vt:lpstr>TIPOBD</vt:lpstr>
      <vt:lpstr>TIPOCEF</vt:lpstr>
    </vt:vector>
  </TitlesOfParts>
  <Company>Autostrade Centro Padane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Ballasina</dc:creator>
  <cp:lastModifiedBy>Ballasina</cp:lastModifiedBy>
  <cp:lastPrinted>2017-10-02T14:15:26Z</cp:lastPrinted>
  <dcterms:created xsi:type="dcterms:W3CDTF">2002-03-15T10:24:03Z</dcterms:created>
  <dcterms:modified xsi:type="dcterms:W3CDTF">2017-12-12T14:10:00Z</dcterms:modified>
</cp:coreProperties>
</file>